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autoCompressPictures="0"/>
  <bookViews>
    <workbookView xWindow="0" yWindow="0" windowWidth="15480" windowHeight="9120" activeTab="3"/>
  </bookViews>
  <sheets>
    <sheet name="source  overview" sheetId="2" r:id="rId1"/>
    <sheet name="source details" sheetId="1" r:id="rId2"/>
    <sheet name="codes" sheetId="3" r:id="rId3"/>
    <sheet name="analysis" sheetId="4" r:id="rId4"/>
  </sheets>
  <definedNames>
    <definedName name="_xlnm._FilterDatabase" localSheetId="0" hidden="1">'source  overview'!$A$2:$F$65</definedName>
    <definedName name="_xlnm._FilterDatabase" localSheetId="1" hidden="1">'source details'!$A$2:$S$51</definedName>
    <definedName name="digitaleng">'source details'!$R$3:$R$51</definedName>
    <definedName name="download">'source details'!$O$3:$O$51</definedName>
    <definedName name="field">'source details'!$D$3:$D$51</definedName>
    <definedName name="hq">'source details'!$G$3:$G$51</definedName>
    <definedName name="index">'source details'!$J$3:$J$51</definedName>
    <definedName name="Inicio" localSheetId="1">'source details'!$C$35</definedName>
    <definedName name="localeng">'source details'!$N$3:$N$51</definedName>
    <definedName name="localpart">'source details'!$I$3:$I$51</definedName>
    <definedName name="multind">'source details'!$M$3:$M$51</definedName>
    <definedName name="obj">'source details'!$K$3:$K$51</definedName>
    <definedName name="onb">'source details'!$K$3:$K$51</definedName>
    <definedName name="onlineanalysis">'source details'!$P$3:$P$51</definedName>
    <definedName name="pubopin">'source details'!$F$3:$F$51</definedName>
    <definedName name="quant">'source details'!$L$3:$L$51</definedName>
    <definedName name="rights">'source details'!$E$3:$E$51</definedName>
    <definedName name="scope">'source details'!$H$3:$H$51</definedName>
    <definedName name="socialmedia">'source details'!$Q$3:$Q$51</definedName>
    <definedName name="totaleng">analysis!$H$18</definedName>
    <definedName name="totalparts">analysis!$C$18</definedName>
    <definedName name="totalrights">analysis!$A$18</definedName>
    <definedName name="totalsources">analysis!$C$1</definedName>
  </definedNames>
  <calcPr calcId="144525" concurrentCalc="0"/>
  <extLst>
    <ext xmlns:mx="http://schemas.microsoft.com/office/mac/excel/2008/main" uri="{7523E5D3-25F3-A5E0-1632-64F254C22452}">
      <mx:ArchID Flags="2"/>
    </ext>
  </extLst>
</workbook>
</file>

<file path=xl/calcChain.xml><?xml version="1.0" encoding="utf-8"?>
<calcChain xmlns="http://schemas.openxmlformats.org/spreadsheetml/2006/main">
  <c r="I24" i="4" l="1"/>
  <c r="I21" i="4"/>
  <c r="L6" i="4"/>
  <c r="J6" i="4"/>
  <c r="H6" i="4"/>
  <c r="F6" i="4"/>
  <c r="D6" i="4"/>
  <c r="C27" i="4"/>
  <c r="H18" i="4"/>
  <c r="C28" i="4"/>
  <c r="E27" i="4"/>
  <c r="E28" i="4"/>
  <c r="F27" i="4"/>
  <c r="F28" i="4"/>
  <c r="G27" i="4"/>
  <c r="G28" i="4"/>
  <c r="I27" i="4"/>
  <c r="I28" i="4"/>
  <c r="J27" i="4"/>
  <c r="J28" i="4"/>
  <c r="K27" i="4"/>
  <c r="K28" i="4"/>
  <c r="L27" i="4"/>
  <c r="L28" i="4"/>
  <c r="M27" i="4"/>
  <c r="M28" i="4"/>
  <c r="N27" i="4"/>
  <c r="N28" i="4"/>
  <c r="D27" i="4"/>
  <c r="D28" i="4"/>
  <c r="E24" i="4"/>
  <c r="C18" i="4"/>
  <c r="E25" i="4"/>
  <c r="F24" i="4"/>
  <c r="F25" i="4"/>
  <c r="G24" i="4"/>
  <c r="G25" i="4"/>
  <c r="H24" i="4"/>
  <c r="H25" i="4"/>
  <c r="I25" i="4"/>
  <c r="J24" i="4"/>
  <c r="J25" i="4"/>
  <c r="K24" i="4"/>
  <c r="K25" i="4"/>
  <c r="L24" i="4"/>
  <c r="L25" i="4"/>
  <c r="M24" i="4"/>
  <c r="M25" i="4"/>
  <c r="N24" i="4"/>
  <c r="N25" i="4"/>
  <c r="D24" i="4"/>
  <c r="D25" i="4"/>
  <c r="L21" i="4"/>
  <c r="A18" i="4"/>
  <c r="C21" i="4"/>
  <c r="C22" i="4"/>
  <c r="N21" i="4"/>
  <c r="N18" i="4"/>
  <c r="M21" i="4"/>
  <c r="K21" i="4"/>
  <c r="J21" i="4"/>
  <c r="H21" i="4"/>
  <c r="G21" i="4"/>
  <c r="F21" i="4"/>
  <c r="E21" i="4"/>
  <c r="D21" i="4"/>
  <c r="E22" i="4"/>
  <c r="F22" i="4"/>
  <c r="G22" i="4"/>
  <c r="H22" i="4"/>
  <c r="I22" i="4"/>
  <c r="J22" i="4"/>
  <c r="K22" i="4"/>
  <c r="L22" i="4"/>
  <c r="M22" i="4"/>
  <c r="N22" i="4"/>
  <c r="D22" i="4"/>
  <c r="L9" i="4"/>
  <c r="J9" i="4"/>
  <c r="H9" i="4"/>
  <c r="F9" i="4"/>
  <c r="D9" i="4"/>
  <c r="L11" i="4"/>
  <c r="J11" i="4"/>
  <c r="H11" i="4"/>
  <c r="F11" i="4"/>
  <c r="D11" i="4"/>
  <c r="L7" i="4"/>
  <c r="J7" i="4"/>
  <c r="H7" i="4"/>
  <c r="F7" i="4"/>
  <c r="D7" i="4"/>
  <c r="F10" i="4"/>
  <c r="F13" i="4"/>
  <c r="H13" i="4"/>
  <c r="L8" i="4"/>
  <c r="J8" i="4"/>
  <c r="H8" i="4"/>
  <c r="F8" i="4"/>
  <c r="G6" i="4"/>
  <c r="G8" i="4"/>
  <c r="G9" i="4"/>
  <c r="G10" i="4"/>
  <c r="F12" i="4"/>
  <c r="G12" i="4"/>
  <c r="G11" i="4"/>
  <c r="G13" i="4"/>
  <c r="I6" i="4"/>
  <c r="I8" i="4"/>
  <c r="I9" i="4"/>
  <c r="H10" i="4"/>
  <c r="I10" i="4"/>
  <c r="H12" i="4"/>
  <c r="I12" i="4"/>
  <c r="I11" i="4"/>
  <c r="I13" i="4"/>
  <c r="M6" i="4"/>
  <c r="M8" i="4"/>
  <c r="M9" i="4"/>
  <c r="L10" i="4"/>
  <c r="M10" i="4"/>
  <c r="L12" i="4"/>
  <c r="M12" i="4"/>
  <c r="M11" i="4"/>
  <c r="L13" i="4"/>
  <c r="M13" i="4"/>
  <c r="K6" i="4"/>
  <c r="K8" i="4"/>
  <c r="K9" i="4"/>
  <c r="J10" i="4"/>
  <c r="K10" i="4"/>
  <c r="J12" i="4"/>
  <c r="K12" i="4"/>
  <c r="K11" i="4"/>
  <c r="J13" i="4"/>
  <c r="K13" i="4"/>
  <c r="D13" i="4"/>
  <c r="D12" i="4"/>
  <c r="D10" i="4"/>
  <c r="E6" i="4"/>
  <c r="D8" i="4"/>
  <c r="E8" i="4"/>
  <c r="E9" i="4"/>
  <c r="E10" i="4"/>
  <c r="E12" i="4"/>
  <c r="E11" i="4"/>
  <c r="E13" i="4"/>
  <c r="E7" i="4"/>
  <c r="M7" i="4"/>
  <c r="K7" i="4"/>
  <c r="I7" i="4"/>
  <c r="G7" i="4"/>
  <c r="A19" i="4"/>
  <c r="B18" i="4"/>
  <c r="A27" i="4"/>
  <c r="B24" i="4"/>
  <c r="B27" i="4"/>
  <c r="B30" i="4"/>
  <c r="B33" i="4"/>
  <c r="B36" i="4"/>
  <c r="N19" i="4"/>
  <c r="L18" i="4"/>
  <c r="L19" i="4"/>
  <c r="C19" i="4"/>
  <c r="D18" i="4"/>
  <c r="D19" i="4"/>
  <c r="E18" i="4"/>
  <c r="E19" i="4"/>
  <c r="F18" i="4"/>
  <c r="F19" i="4"/>
  <c r="G18" i="4"/>
  <c r="G19" i="4"/>
  <c r="H19" i="4"/>
  <c r="I18" i="4"/>
  <c r="I19" i="4"/>
  <c r="J18" i="4"/>
  <c r="J19" i="4"/>
  <c r="K18" i="4"/>
  <c r="K19" i="4"/>
  <c r="M18" i="4"/>
  <c r="M19" i="4"/>
  <c r="A1" i="2"/>
  <c r="A7" i="3"/>
  <c r="A11" i="3"/>
  <c r="A29" i="3"/>
  <c r="A27" i="3"/>
  <c r="A25" i="3"/>
  <c r="A23" i="3"/>
  <c r="A21" i="3"/>
  <c r="A19" i="3"/>
  <c r="A17" i="3"/>
  <c r="A15" i="3"/>
  <c r="A13" i="3"/>
  <c r="A10" i="3"/>
  <c r="A9" i="3"/>
  <c r="A5" i="3"/>
  <c r="A4" i="3"/>
  <c r="A3" i="3"/>
  <c r="A2" i="3"/>
  <c r="A1" i="3"/>
</calcChain>
</file>

<file path=xl/sharedStrings.xml><?xml version="1.0" encoding="utf-8"?>
<sst xmlns="http://schemas.openxmlformats.org/spreadsheetml/2006/main" count="620" uniqueCount="392">
  <si>
    <t>Ace Comparative Data</t>
  </si>
  <si>
    <t>Afrobarometer Survey</t>
  </si>
  <si>
    <t>Bertelsmann Transformation Index</t>
  </si>
  <si>
    <t>Commitment to Development Index</t>
  </si>
  <si>
    <t>Open Budget Index</t>
  </si>
  <si>
    <t>David Cingranelli, Binghamton University,</t>
  </si>
  <si>
    <t>Journalists Killed Statistics</t>
  </si>
  <si>
    <t xml:space="preserve">East Asia Barometer </t>
  </si>
  <si>
    <t>Eurobarometer</t>
  </si>
  <si>
    <t>Annual Survey of Freedom</t>
  </si>
  <si>
    <t>Press Freedom Survey</t>
  </si>
  <si>
    <t>Polity IV Country Reports</t>
  </si>
  <si>
    <t>Global Integrity Index</t>
  </si>
  <si>
    <t xml:space="preserve">Governance Matters V (1996-2005) </t>
  </si>
  <si>
    <t>Political Constraint Index</t>
  </si>
  <si>
    <t>Index of Economic Freedom</t>
  </si>
  <si>
    <t>Electoral Quotas for Women Database</t>
  </si>
  <si>
    <t>Media Sustainability Index</t>
  </si>
  <si>
    <t>Women in National Parliaments Statistical Archive</t>
  </si>
  <si>
    <t>Opacity Index</t>
  </si>
  <si>
    <t>Political Terror Scale</t>
  </si>
  <si>
    <t>World Governance Assessment</t>
  </si>
  <si>
    <t>State Failure Dataset</t>
  </si>
  <si>
    <t>Press Freedom Index</t>
  </si>
  <si>
    <t>Bribe Payers Index</t>
  </si>
  <si>
    <t>Corruption Perceptions Index</t>
  </si>
  <si>
    <t>Gender Empowerment Measure</t>
  </si>
  <si>
    <t>Country Policy and Institutional Assessment</t>
  </si>
  <si>
    <t>Global Competitiveness Index</t>
  </si>
  <si>
    <t>Initiative</t>
  </si>
  <si>
    <t>Social Media</t>
  </si>
  <si>
    <t>Url</t>
  </si>
  <si>
    <t>http://aceproject.org/epic-en</t>
  </si>
  <si>
    <t xml:space="preserve">
Comparative Data is a systematic collection of election-related statistics and data covering more than 200 countries and 11 different topics. The data is gathered by the ACE Regional Centres and through collaboration with EMBs [Election Management Bodies] around the world. To access the data, click on any of the below topics or choose a country from the drop-down menu.</t>
  </si>
  <si>
    <t>Field</t>
  </si>
  <si>
    <t>Elections</t>
  </si>
  <si>
    <t>Policy principles of engagement are in place, and facebook and you tube are open for comments</t>
  </si>
  <si>
    <t>http://www.afrobarometer.org/</t>
  </si>
  <si>
    <t xml:space="preserve">Afrobarometer surveys are conducted in more that a dozen African countries and are repeated on a regular cycle. Because the instrument asks a standard set of questions, countries can be systematically compared. Trends in public attitudes are tracked over time. Results are shared with decision makers, policy advocates, civic educators, journalists, researchers, donors and investors, as well as average Africans who wish to become more informed and active citizens.
</t>
  </si>
  <si>
    <t>Perceptions, misc</t>
  </si>
  <si>
    <t>http://www.bertelsmann-transformation-index.de/en/</t>
  </si>
  <si>
    <t>Advocating reforms targeting the goal of a constitutional democracy and socially responsible market economy, the Transformation Index BTI provides the framework for an exchange of best practices among agents of reform. Within this framework, the BTI publishes two rankings, the Status Index and the Management Index, both of which are based on in-depth assessments of 128 countries.
Ranking
Distributed among the dimensions democracy, market economy and political management, a total of 17 criteria are subdivided into 52 questions. BTI countries are selected according to the following criteria: they have yet to achieve a fully consolidated democracy and market economy and have populations of more than two million. Bahrain, Botswana, Estonia, Kosovo, Mauritius, Montenegro and Qatar have also been included as cases of special interest. The Status Index ranks the countries according to their state of democracy and market economy as of spring 2009; the Management Index ranks them according to their leadership's management performance between 2007 and 2009... »</t>
  </si>
  <si>
    <t>Transformtion, Fragility</t>
  </si>
  <si>
    <t>DE</t>
  </si>
  <si>
    <t>Global Peace Index</t>
  </si>
  <si>
    <t>Global Hunger Index</t>
  </si>
  <si>
    <t>Your Better Life Index</t>
  </si>
  <si>
    <t>"By creating the Your Better Life Index, the OECD allows you to rank whats important to your life, and see if your country is providing it. You can compare your country with others. And because the YBLI is interactive, you can show what you need to make your life better." (http://www.youtube.com/watch?v=OOIK9YxQ2sY)</t>
  </si>
  <si>
    <t>africa</t>
  </si>
  <si>
    <t>Paris</t>
  </si>
  <si>
    <t>Well-being</t>
  </si>
  <si>
    <t>http://www.oecdbetterlifeindex.org</t>
  </si>
  <si>
    <t>by sharing indices, citizens contribute to an online database of preferences</t>
  </si>
  <si>
    <t>Happy Planet Index</t>
  </si>
  <si>
    <t>http://www.happyplanetindex.org/</t>
  </si>
  <si>
    <t>The index combines environmental impact with human well-being to measure the environmental efficiency with which, country by country, people live long and happy lives. Learn about the ideas behind the HPI, how it is calculated, why we need it and what it can teach us.</t>
  </si>
  <si>
    <t>Climate</t>
  </si>
  <si>
    <t>UK</t>
  </si>
  <si>
    <t>Global</t>
  </si>
  <si>
    <t>individuals are invited to be ranked according to the same manner as countries</t>
  </si>
  <si>
    <t>http://www.ifpri.org/publication/2010-global-hunger-index</t>
  </si>
  <si>
    <t>As the world approaches the 2015 deadline for achieving the Millennium Development Goals (MDGs) – which include a goal of reducing the proportion of hungry people by half – the 2010 Global Hunger Index (GHI) offers a useful and multidimensional overview of global hunger. The 2010 GHI shows some improvement over the 1990 GHI, falling by almost one-quarter. Nonetheless, the index for hunger in the world remains at a level characterized as “serious.” The result is unsurprising given that the overall number of hungry people surpassed 1 billion in 2009, even though it decreased to 925 million in 2010, according to the Food and Agriculture Organization of the United Nations.</t>
  </si>
  <si>
    <t>Development</t>
  </si>
  <si>
    <t>US</t>
  </si>
  <si>
    <t>http://www.visionofhumanity.org/info-center/global-peace-index-2011/</t>
  </si>
  <si>
    <t>About the Global Peace Index (GPI)
The GPI, produced by the Institute for Economics and Peace, is the world’s leading measure of global peacefulness. It gauges ongoing domestic and international conflict, safety and security in society, and militarisation in 153 countries by taking into account 23 separate indicators.
See the Downloads section to the right to download the full GPI Report, Fact Sheet, Discussion paper and other materials.</t>
  </si>
  <si>
    <t>Peace</t>
  </si>
  <si>
    <t>the 2 indicators for governance are voter turn out and rule-making transparency (which is not sourced)</t>
  </si>
  <si>
    <t xml:space="preserve">no
</t>
  </si>
  <si>
    <t>http://www.cgdev.org/section/initiatives/_active/cdi/</t>
  </si>
  <si>
    <t>Which rich countries are doing the most to help poor ones? Rich and poor nations are linked in many ways—by foreign aid, commerce, the environment, and more. Each year, the CDI rates rich-country governments on how much they are helping poor countries via seven key linkages: aid, trade, investment, migration, environment, security, and technology. The CDI then takes the average for an overall score.
To see if countries live up to their potential to help, scoring adjusts for size. So small countries can beat big ones. Scores are on a standard scale and 5 = average.
Explore the CDI below. Go Inside the Index for the who, what, and why. Read key messages. Get answers to Frequently Asked Questions.</t>
  </si>
  <si>
    <t>donors</t>
  </si>
  <si>
    <t>some comments on you tube</t>
  </si>
  <si>
    <t>http://www.internationalbudget.org/what-we-do/open-budget-survey/</t>
  </si>
  <si>
    <t xml:space="preserve">The International Budget Partnership has just released the Open Budget Survey 2010, the only independent, comparativeThe International Budget Partnership has just released the Open Budget Survey 2010, the only independent, comparative, regular measure of budget transparency and accountability around the world. Produced every two years by independent experts not beholden to national governments, the report reveals that 74 of the 94 countries assessed fail to meet basic standards of transparency and accountability with national budgets. This opens the door to abuse and inappropriate and inefficient use of public money. The good news is that all governments -- no matter their income levels or political systems or dependence on aid -- can improve transparency and accountability quickly and with very little additional cost or effort by publishing online all of the budget information they already produce and by inviting public participation in the budget process. Read More
, regular measure of budget transparency and accountability around the world. Produced every two years by independent experts not beholden to national governments, the report reveals that 74 of the 94 countries assessed fail to meet basic standards of transparency and accountability with national budgets. This opens the door to abuse and inappropriate and inefficient use of public money. The good news is that all governments -- no matter their income levels or political systems or dependence on aid -- can improve transparency and accountability quickly and with very little additional cost or effort by publishing online all of the budget information they already produce and by inviting public participation in the budget process. Read More
The International Budget Partnership has just released the Open Budget Survey 2010, the only independent, comparative, regular measure of budget transparency and accountability around the world. Produced every two years by independent experts not beholden to national governments, the report reveals that 74 of the 94 countries assessed fail to meet basic standards of transparency and accountability with national budgets. This opens the door to abuse and inappropriate and inefficient use of public money. The good news is that all governments -- no matter their income levels or political systems or dependence on aid -- can improve transparency and accountability quickly and with very little additional cost or effort by publishing online all of the budget information they already produce and by inviting public participation in the budget process. Read More
The International Budget Partnership has just released the Open Budget Survey 2010, the only independent, comparative, regular measure of budget transparency and accountability around the world. Produced every two years by independent experts not beholden to national governments, the report reveals that 74 of the 94 countries assessed fail to meet basic standards of transparency and accountability with national budgets. This opens the door to abuse and inappropriate and inefficient use of public money. The good news is that all governments -- no matter their income levels or political systems or dependence on aid -- can improve transparency and accountability quickly and with very little additional cost or effort by publishing online all of the budget information they already produce and by inviting public participation in the budget process. Read More
The International Budget Partnership has just released the Open Budget Survey 2010, the only independent, comparative, regular measure of budget transparency and accountability around the world. Produced every two years by independent experts not beholden to national governments, the report reveals that 74 of the 94 countries assessed fail to meet basic standards of transparency and accountability with national budgets. This opens the door to abuse and inappropriate and inefficient use of public money. The good news is that all governments -- no matter their income levels or political systems or dependence on aid -- can improve transparency and accountability quickly and with very little additional cost or effort by publishing online all of the budget information they already produce and by inviting public participation in the budget process. Read More
</t>
  </si>
  <si>
    <t>Budget</t>
  </si>
  <si>
    <t>Data Downlod</t>
  </si>
  <si>
    <t xml:space="preserve">The Cingranelli-Richards (CIRI) Human Rights Dataset contains standards-based quantitative information on government respect for 15 internationally recognized human rights for 195 countries, annually from 1981-2009. It is designed for use by scholars and students who seek to test theories about the causes and consequences of human rights violations, as well as policy makers and analysts who seek to estimate the human rights effects of a wide variety of institutional changes and public policies including democratization, economic aid, military aid, structural adjustment, and humanitarian intervention.
</t>
  </si>
  <si>
    <t>http://ciri.binghamton.edu/index.asp</t>
  </si>
  <si>
    <t>Human Rights</t>
  </si>
  <si>
    <t>http://www.cpj.org</t>
  </si>
  <si>
    <t>Media</t>
  </si>
  <si>
    <t xml:space="preserve">MediaThe Journalists Killed Statistics list the total “confirmed” number of journalists murdered in a given year. Cases are considered “confirmed” when CPJ’s research confirms or strongly suggests that a journalist was killed in direct reprisal for his or her work or in crossfire while carrying out a dangerous assignment. The list does not include journalists who are killed in accidents unless the crash was caused by bellicose human action, for example, if a plane were shot down. If the motives are unclear, but it is possible that a journalist was killed because of his or her work, CPJ classifies the case as “unconfirmed”.
</t>
  </si>
  <si>
    <t>The Asian Barometer Survey (ABS) grows out of the Comparative Survey of Democratization and Value Change in East Asia Project (also known as East Asia Barometer), which was launched in mid-2000 and funded by the Ministry of Education of Taiwan under the MOE-NSC Program for Promoting Academic Excellence of University. The ABS is currently based at National Taiwan University (NTU) and the operation of the headquarters is jointly sponsored by the Department of Political Science at NTU and the Institute of Political Science of Academia Sinica. The East Asian component of the project is coordinated by Yun-han Chu, who also serves as the overall coordinator of the Asian Barometer. In organizing its first-wave survey (2001-2003), the East Asia Barometer (EABS) brought together 13 country teams and more than 30 leading scholars from across the region and the United States. Since its founding, the EABS Project has been increasingly recognized as the region's first systematic and most careful comparative survey of attitudes and orientations toward political regime, democracy, governance, and economic reform. </t>
  </si>
  <si>
    <t>http://www.asianbarometer.org/newenglish/introduction/ProgramOverview.htm</t>
  </si>
  <si>
    <t>Democracy</t>
  </si>
  <si>
    <t>Taiwan</t>
  </si>
  <si>
    <t>Asia</t>
  </si>
  <si>
    <t>Democracy, perception</t>
  </si>
  <si>
    <t xml:space="preserve">The Eurobarometer team uses several instruments. The standard EB is based on random samples of 1000 persons (aged 15 and over) in each country interviewed in their homes. They contain several series of questions designed to measure trends of opinion over time, as well as current affairs questions. Special EB are methodologically identical to standard EB; but their content and frequency varies as they are launched upon the request of one of the directorates general of the Commission if and when needed. Interviews for the ‘FLASH EB’ are done by telephone. When addressing the public at large, they are based on random samples of 500 persons per country. They are done whenever a directorate general needs one. If appropriate, FLASH EB do not address the general public but a specific target group, e.g. managers, farmers, teachers, general practitioners, etc.
</t>
  </si>
  <si>
    <t>http://ec.europa.eu/public_opinion/index_en.htm</t>
  </si>
  <si>
    <t>Brussels</t>
  </si>
  <si>
    <t>Europe</t>
  </si>
  <si>
    <t xml:space="preserve">Experts allocate a country rating based upon responses to a series of questions. Those experts are not generally based in the country rated, rather they will be involved in rating several countries. The overall rating is made up from two separate indices of political and civil rights.
The full list of questions asked of each expert is available at the Freedom House webpage. The methodology requires countries to be rated by experts and these scores are transformed into a Political Freedoms and Civil Liberties index. The scores for the 2 indices are then averaged to show an overall freedom rating for the country. Each question is rated with 0 to 4 points with 0 representing the closest to the ideal situation and 4 representing the furthest from it. The impact of the double transformation of ratings is to push countries slightly closer to ‘not free’ than would otherwise be the case, although this affects only those at the lower ends of the ranges for each type of freedom.
</t>
  </si>
  <si>
    <t>http://www.freedomhouse.org/template.cfm?page=15</t>
  </si>
  <si>
    <t>Freedom of the Press 2011 identifies the greatest threats to independent media in 196 countries and territories. Released on May 2 as part of the UNESCO World Press Freedom Day celebration in Washington, D.C., the report shows that global media freedom has reached a new low point, contributing to an environment in which only one in every six people live in countries with a Free press. In 2010, there were particularly worrisome trends in the Middle East and the Americas, while improvements were noted in sub-Saharan Africa. Below are several critical tools to highlight data from the annual index of global press freedom, and to help explain the newest findings in their historical context.</t>
  </si>
  <si>
    <t>http://freedomhouse.org/template.cfm?page=16&amp;year=0</t>
  </si>
  <si>
    <t xml:space="preserve">Assessments by academics based on available literature. Unit of analysis is the polity – a political or governmental organization; a society or institution with an organised government; state; body politic. The dataset is designed to be compatible with the state failure dataset, also produced by the same institution.
</t>
  </si>
  <si>
    <t>http://www.systemicpeace.org/polity/polity4.htm</t>
  </si>
  <si>
    <t>http://report.globalintegrity.org/globalIndex.cfm</t>
  </si>
  <si>
    <t xml:space="preserve">The Global Integrity Index assesses the existence, effectiveness, and citizen access to key national-level anti-corruption mechanisms used to hold governments accountable. The Index does not measure corruption. Rather than examine the "cancer" of corruption, the Index investigates the "medicine" being used against it — in the form of government accountability, transparency, and citizen oversight.
The Global Integrity Index is generated by aggregating more than 300 Integrity Indicators systematically gathered for each country covered. For the Global Integrity Index: 2009, those indicators comprised more than 100,000 peer-reviewed questions and answers scored by in-country experts. Several rounds of review are conducted at the international level to ensure that cross-country comparisons are valid. In addition, all assessments are reviewed by a country-specific, double-blind peer review panel comprising additional local and international subject matter experts.
</t>
  </si>
  <si>
    <t>Integrity</t>
  </si>
  <si>
    <t xml:space="preserve">There are six aggregate governance indicators (voice and accountability, political stability and absence of violence, government effectiveness, regulatory quality, rule of law, and control of corruption), based on a large number of individual underlying data sources. The individual indicator sources are rescaled and assigned to one of the six aggregate indicators, and an unobserved components model is used to construct the aggregate indicators, together with margins of error explicitly indicating the unavoidable uncertainty associated with any cross-country measure of governance.
</t>
  </si>
  <si>
    <t>http://www.govindicators.org</t>
  </si>
  <si>
    <t>Governance</t>
  </si>
  <si>
    <t>http://www.management.wharton.upenn.edu/henisz/</t>
  </si>
  <si>
    <t xml:space="preserve">The index uses quantitative data on the number of independent branches of administrative government with veto power, over policy change, and the distribution of preferences within those veto players. These data are analysed in a simple spatial model of political interaction to assess the feasibility with which any one actor can secure a change in the status quo.
</t>
  </si>
  <si>
    <t>Risk</t>
  </si>
  <si>
    <t>http://www.heritage.org/index/</t>
  </si>
  <si>
    <t>Economic Freedom</t>
  </si>
  <si>
    <t xml:space="preserve">The website collates data from all countries where quotas are known to be used to increase the representation of women in legislatures. Details are provided concerning the types of quota (electoral law, constitutional or political party + constitutional or legislative quotas for sub-national government).
</t>
  </si>
  <si>
    <t>Gender</t>
  </si>
  <si>
    <t>http://www.quotaproject.org/index.cfm</t>
  </si>
  <si>
    <t>US/Swiss</t>
  </si>
  <si>
    <t>http://www.irex.org/project/media-sustainability-index-msi</t>
  </si>
  <si>
    <t xml:space="preserve">By "sustainability" IREX refers to the ability of media to play its vital role as the "fourth estate." How sustainable is a media sector in the context of providing the public with useful, timely, and objective information? How well does it serve as a facilitator of public discussion? To measure this, the MSI assesses five "objectives" that shape a media system: freedom of speech, professional journalism, plurality of news, business management, and supporting institutions. Read the complete MSI Methodology for more information on how this is accomplished.
</t>
  </si>
  <si>
    <t>http://www.ipu.org/wmn-e/classif.htm</t>
  </si>
  <si>
    <t>Name</t>
  </si>
  <si>
    <t>Year Introduced</t>
  </si>
  <si>
    <t>Website</t>
  </si>
  <si>
    <t>Freedom in the World</t>
  </si>
  <si>
    <t xml:space="preserve">Polity </t>
  </si>
  <si>
    <t xml:space="preserve">CPIA </t>
  </si>
  <si>
    <t>new to img</t>
  </si>
  <si>
    <t>http://www.politicalterrorscale.org/</t>
  </si>
  <si>
    <t>International Country Risk Guide</t>
  </si>
  <si>
    <t>World Values Survey</t>
  </si>
  <si>
    <t xml:space="preserve">Journalists Killed </t>
  </si>
  <si>
    <t>Nations in Transit</t>
  </si>
  <si>
    <t>new to UG</t>
  </si>
  <si>
    <t>http://www.freedomhouse.org/template.cfm?page=17</t>
  </si>
  <si>
    <t>regional</t>
  </si>
  <si>
    <t>Latinobarometro</t>
  </si>
  <si>
    <t>http://www.latinobarometro.org/</t>
  </si>
  <si>
    <t>Commitment to Development</t>
  </si>
  <si>
    <t>Governance Matters</t>
  </si>
  <si>
    <t>World Democracy Audit</t>
  </si>
  <si>
    <t>http://www.worldaudit.org/home.htm</t>
  </si>
  <si>
    <t>Women in National Parliaments</t>
  </si>
  <si>
    <t>Africa's Growth Tragedy: Policies and Ethnic Divisions Dataset</t>
  </si>
  <si>
    <t>http://go.worldbank.org/K7WYOCA8T0</t>
  </si>
  <si>
    <t>Weberian Comparative State Project</t>
  </si>
  <si>
    <t>http://weber.ucsd.edu/~jrauch/webstate/</t>
  </si>
  <si>
    <t>already on graph</t>
  </si>
  <si>
    <t>Vanhanen's index of democracy</t>
  </si>
  <si>
    <t>http://www.prio.no/CSCW/Datasets/Governance/Vanhanens-index-of-democracy/</t>
  </si>
  <si>
    <t>Indicators of Local Democratic Governance</t>
  </si>
  <si>
    <t>http://lgi.osi.hu/documents.php?id=15</t>
  </si>
  <si>
    <t>Index of Democracy</t>
  </si>
  <si>
    <t xml:space="preserve">Human Rights Indicators </t>
  </si>
  <si>
    <t>CIRI</t>
  </si>
  <si>
    <t>http://ciri.binghamton.edu/faq.asp</t>
  </si>
  <si>
    <t>BEEPS</t>
  </si>
  <si>
    <t>Economic Freedom of the World</t>
  </si>
  <si>
    <t>http://www.cato.org/pubs/efw/</t>
  </si>
  <si>
    <t>Civil Society Index</t>
  </si>
  <si>
    <t>http://www.civicus.org/csi</t>
  </si>
  <si>
    <t>Afrobarometer</t>
  </si>
  <si>
    <t>http://www.afrobarometer.org/origins.html</t>
  </si>
  <si>
    <t>Integrity Index</t>
  </si>
  <si>
    <t>Global Corruption Barometer</t>
  </si>
  <si>
    <t>http://www.transparency.org/policy_research/surveys_indices/gcb</t>
  </si>
  <si>
    <t>Global Accountability Report</t>
  </si>
  <si>
    <t>GAPS in Workers' Rights</t>
  </si>
  <si>
    <t>Countries at the Crossroads</t>
  </si>
  <si>
    <t>http://www.freedomhouse.org/template.cfm?page=139&amp;edition=9</t>
  </si>
  <si>
    <t>Women's Rights in the Middle East and North Africa</t>
  </si>
  <si>
    <t>http://www.freedomhouse.org/template.cfm?page=444</t>
  </si>
  <si>
    <t>Failed States Index</t>
  </si>
  <si>
    <t>http://www.fundforpeace.org/web/index.php?option=com_content&amp;task=view&amp;id=99&amp;Itemid=140</t>
  </si>
  <si>
    <t>African Governance Report</t>
  </si>
  <si>
    <t>http://www.uneca.org/agr/</t>
  </si>
  <si>
    <t>Institutional Profiles Database</t>
  </si>
  <si>
    <t>http://www.cepii.fr/anglaisgraph/bdd/institutions.htm</t>
  </si>
  <si>
    <t>Democracy Index</t>
  </si>
  <si>
    <t>http://www.eiu.com/index.asp?rf=0</t>
  </si>
  <si>
    <t>Crinis</t>
  </si>
  <si>
    <t>Arab Barometer</t>
  </si>
  <si>
    <t>http://arabbarometer.org/</t>
  </si>
  <si>
    <t xml:space="preserve">Open Budget Index </t>
  </si>
  <si>
    <t xml:space="preserve">Ibrahim Index </t>
  </si>
  <si>
    <t>http://www.moibrahimfoundation.org/en/section/the-ibrahim-index</t>
  </si>
  <si>
    <t>Governance and Democracy Processes</t>
  </si>
  <si>
    <t>http://www.carleton.ca/cifp/gdp.htm</t>
  </si>
  <si>
    <t>http://www.visionofhumanity.org/gpi/home.php</t>
  </si>
  <si>
    <t>Arab Democracy Index</t>
  </si>
  <si>
    <t>http://arab-reform.net/spip.php?rubrique4</t>
  </si>
  <si>
    <t>Index of African Governance</t>
  </si>
  <si>
    <t>http://www.worldpeacefoundation.org/africangovernance.html</t>
  </si>
  <si>
    <t>Rule of Law Index</t>
  </si>
  <si>
    <t>http://www.worldjusticeproject.org/rule-of-law-index/</t>
  </si>
  <si>
    <t>Index of Human Rights</t>
  </si>
  <si>
    <t xml:space="preserve">Comparative Political Data Set </t>
  </si>
  <si>
    <t>http://www.ipw.unibe.ch/content/team/klaus_armingeon/comparative_political_data_sets/index_ger.html</t>
  </si>
  <si>
    <t>academic</t>
  </si>
  <si>
    <t>Bureaucratic Structure and Performance</t>
  </si>
  <si>
    <t>http://www.unu.edu/hq/academic/Pg_area4/b-structure.html</t>
  </si>
  <si>
    <t>Alvarez, Cheibub, Limongi, Przeworski (ACLP) Dataset</t>
  </si>
  <si>
    <t>http://www.nsd.uib.no/macrodataguide/set.html?id=1&amp;sub=1</t>
  </si>
  <si>
    <t>Correlates of War</t>
  </si>
  <si>
    <t>not sure, seems to be around 1972</t>
  </si>
  <si>
    <t>http://www.correlatesofwar.org/</t>
  </si>
  <si>
    <t>Democratic Electoral Systems around the World</t>
  </si>
  <si>
    <t>http://homepages.nyu.edu/~mrg217/elections.html</t>
  </si>
  <si>
    <t>Electoral Systems Data Set</t>
  </si>
  <si>
    <t>http://www.iadb.org/res/excel/sgps_data.zip</t>
  </si>
  <si>
    <t>Political Constraint Database</t>
  </si>
  <si>
    <t xml:space="preserve">http://www-management.wharton.upenn.edu/henisz/ </t>
  </si>
  <si>
    <t>Notes</t>
  </si>
  <si>
    <t>A yearly report measuring physical integrity rights violations worldwide. The PTS measures levels of political violence and terror that a country experiences in a particular year based on a 5-level “terror scale.” The data used in compiling this index comes from two different sources: the yearly country reports of Amnesty International and the U.S. State Department Country Reports on Human Rights Practices.</t>
  </si>
  <si>
    <t xml:space="preserve">The WGA is based on a survey questionnaire for each country, which covers 30 indicators for 6 defined dimensions of governance. The surveys are completed by so called ‘well informed persons’ who are seen to be experts on governance representing both state, civil society and the private sector. The experts are asked to assess their country on a 1-5 scale for each of the 30 indicators. The number of experts consulted per country varies from 33 to 41 persons. The questionnaire asks respondents to provide answers both for the present situation and 5 years ago.
</t>
  </si>
  <si>
    <t>http://www.odi.org.uk/work/projects/00-07-world-governance-assessment/</t>
  </si>
  <si>
    <t>conflict</t>
  </si>
  <si>
    <t>http://en.rsf.org/press-freedom-index-2010,1034.html</t>
  </si>
  <si>
    <t>Fr</t>
  </si>
  <si>
    <t>some</t>
  </si>
  <si>
    <t>Focus</t>
  </si>
  <si>
    <t xml:space="preserve">The question ‘In the business sectors with which you are most familiar, please indicate how likely companies from the following countries are to pay or offer bribes to win or retain business in this country?’ is used to determine the ranking on the Bribe Payers Index. The survey asks respondents in emerging markets to rate the bribe paying behaviour of companies from developed countries.
</t>
  </si>
  <si>
    <t>http://transparency.org/policy_research/surveys_indices/bpi</t>
  </si>
  <si>
    <t>Corruption</t>
  </si>
  <si>
    <t>Details of the questions asked by each of the data sources are available in the background paper on the website, released at the same time as the index. The base assumption used is that overall levels of corruption globally are unchanged from year to year. All data sources ask qualitative questions to determine the level of corruption. Note that some data sources (Economist Intelligence Unit, Freedom House) use exclusively external assessors based outside the country rated.</t>
  </si>
  <si>
    <t>http://www.transparency.org/policy_research/surveys_indices/cpi/2010</t>
  </si>
  <si>
    <t>iphone app</t>
  </si>
  <si>
    <t>http://data.worldbank.org/data-catalog/CPIA</t>
  </si>
  <si>
    <t xml:space="preserve">The World Bank’s IDA Resource Allocation Index (IRAI) is based on the results of the annual CPIA exercise that covers the IDA eligible countries. The CPIA rates countries against a set of 16 criteria grouped in four clusters: (a) economic management; (b) structural policies; (c) policies for social inclusion and equity; and (d) public sector management and institutions. The  criteria are focused on balancing the capture of the key factors that foster growth and poverty reduction, with the need to avoid undue burden on the assessment process. To fully underscore the importance of the CPIA in the IDA Performance Based Allocations, the overall country score is referred to as the IRAI. 
</t>
  </si>
  <si>
    <t xml:space="preserve">World Banks data </t>
  </si>
  <si>
    <t>values</t>
  </si>
  <si>
    <t>Arab States</t>
  </si>
  <si>
    <t>http://www.arab-reform.net/spip.php?rubrique4</t>
  </si>
  <si>
    <t>Data gathered for the Arab Democracy Index cover three different dimensions: the legal aspect, public opinion, and practices of regimes. Measurement is therefore based on monitoring performance and behavior rather than just examining intentions and structures, since intentions may be good but performance poor.</t>
  </si>
  <si>
    <t>Regional</t>
  </si>
  <si>
    <t>The CIVICUS Civil Society Index (CSI) is a participatory needs assessment and action planning tool for civil society around the world, with the aim of creating a knowledge base and momentum for civil society strengthening initiatives. The CSI is initiated and implemented by, and for, civil society organizations at the country level, and actively involves, and disseminates its findings, to a broad range of stakeholders including: government, donors, academics and the public at large. The two primary goals of the CSI are: to enhance the strength and sustainability of civil society, and to strengthen civil society’s contribution to positive social change.</t>
  </si>
  <si>
    <t>Civil Society</t>
  </si>
  <si>
    <t>SA</t>
  </si>
  <si>
    <t>no SC</t>
  </si>
  <si>
    <t>Countries at the Crossroads is an annual analysis of government performance in 70 strategically important countries worldwide that are at a critical crossroads in determining their political future. The in-depth comparative analyses and quantitative ratings—examining government accountability, civil liberties, rule of law, and anticorruption and transparency efforts—are intended to help international policymakers identify areas of progress, as well as to highlight areas of concern that could be addressed in diplomatic efforts and reform assistance. A new edition of Crossroads is published each year, with approximately half of the 70 countries analyzed in odd-numbered years and the other half in even-numbered years.</t>
  </si>
  <si>
    <t>governance</t>
  </si>
  <si>
    <t>varies</t>
  </si>
  <si>
    <t>http://crinisproject.org/</t>
  </si>
  <si>
    <t>no public indicators</t>
  </si>
  <si>
    <t>US/US</t>
  </si>
  <si>
    <t>The Democracy Index is an index compiled by the Economist Intelligence Unit that claims to measure the state of democracy in 167 countries, of which 166 are sovereign states and 165 are UN member states. The Economist Intelligence Unit's Democracy Index is based on 60 indicators grouped in five different categories: electoral process and pluralism, civil liberties, functioning of government, political participation and political culture. The Index was first produced in 2006, with updates produced in 2008 and 2010.</t>
  </si>
  <si>
    <t>democracy</t>
  </si>
  <si>
    <t>market</t>
  </si>
  <si>
    <t>Economic Freedom in the World</t>
  </si>
  <si>
    <t>http://www.freetheworld.com/</t>
  </si>
  <si>
    <t>The index published in Economic Freedom of the World measures the degree to which the policies and institutions of
countries are supportive of economic freedom. The cornerstones of economic freedom are personal choice, voluntary
exchange, freedom to compete, and security of privately owned property. Forty-two data points are used to construct
a summary index and to measure the degree of economic freedom in five broad areas:
1 Size of Government: Expenditures, Taxes, and Enterprises;
2 Legal Structure and Security of Property Rights;
3 Access to Sound Money;
4 Freedom to Trade Internationally;
5 Regulation of Credit, Labor, and Business.</t>
  </si>
  <si>
    <t>reports through software download</t>
  </si>
  <si>
    <t xml:space="preserve">Transparency International’s Global Corruption Barometer is the only worldwide public opinion survey on views and experiences of corruption. As a poll of the general public, it provides an indicator of how corruption is viewed at national level and how efforts to curb corruption around the world are assessed on the ground. It also provides a measure of people’s experience of corruption in the past year.
The 2010 Barometer, the seventh edition, reflects the responses of 91,781 people in 86 countries, and offers the greatest country coverage to date. </t>
  </si>
  <si>
    <t>http://www.transparency.org/policy_research/surveys_indices/gcb/2010</t>
  </si>
  <si>
    <t>Governance and Democracy</t>
  </si>
  <si>
    <t>The Governance and Democratic Processes project seeks to increase understanding of democratic processes in a select number of countries. The methodology for the Governance project was based on that of the Fragile States project, using baseline data and event monitoring. In addition, researchers employ questionnaire based surveys that solicit the input of country experts, thus allowing the juxtaposition of quantitative and qualitative assessment. The Governance and Democratic Processes country reports provide detailed analysis of governance related processes in a particular state. The indicators used to gather structural data are divided into six clusters: Rule of Law, Human Rights, Government Transparency and Accountability; Government and Market Efficiency; Democratic Participation; and Political Stability and Violence. Events monitoring information is collected using a variety of domestic and international sources. Where possible, such quantitative sources are complemented by in-country consultations with subject and country experts.</t>
  </si>
  <si>
    <t>Canada</t>
  </si>
  <si>
    <t xml:space="preserve">    Measures the delivery of public goods and services to citizens by government and nonstate actors
    Uses indicators across four main categories: Safety and Rule of Law; Participation and Human Rights; Sustainable Economic Opportunity; and Human Development as proxies for the quality of the processes and outcomes of governance
    Is the most comprehensive collection of qualitative and quantitative data that assess governance in Africa
    Is funded and led by an African institution
    Is a progressive and consultative assessment of governance
</t>
  </si>
  <si>
    <t>http://escolapau.uab.cat/index.php?option=com_content&amp;view=article&amp;id=77&amp;Itemid=97&amp;lang=en</t>
  </si>
  <si>
    <t>Human Righsts</t>
  </si>
  <si>
    <t>Spain</t>
  </si>
  <si>
    <t>no indicators or data</t>
  </si>
  <si>
    <t>The Institutional Profiles Database 2009 presents a set of indicators on the institutional characteristics of 123 developed and developing countries covering 96% of the world population and 99% of world GDP. The database covers a broad spectrum of institutional characteristics and goes beyond measuring governance. The nine institutional functions assessed by the IPD are: 1. Political institutions; 2. Safety, Law and Order, Control of violence; 3. Functioning of Public administrations; 4. Free Operation of Markets; 5. Coordination of actors, Strategic vision, Innovation; 6. Security of transactions and contracts; 7. Market regulations, Social dialogue; 8. Openness to the outside world; 9. Social cohesion and mobility.</t>
  </si>
  <si>
    <t>France</t>
  </si>
  <si>
    <t>democracy perceptions</t>
  </si>
  <si>
    <t>Chile</t>
  </si>
  <si>
    <t>LAC</t>
  </si>
  <si>
    <t>Transition</t>
  </si>
  <si>
    <t>Nations in Transit 2010 is the 14th edition of Freedom House’s comprehensive, comparative study of democratic development in 29 countries from Central Europe to Eurasia. The overarching conclusion is that 2009 was a year of broad, cross-regional pressures on democratic developments: scores declined for 14 of the 29 countries. Six new EU member states, a number of which confronted rising nationalism, experienced declines, while one experienced gains. In the non-Baltic former Soviet Union, the ratings for six countries eroded, and one improved. And, in the Balkans, three countries improved and two saw their scores regress. The downward trends in national democratic governance, judicial framework and independence, electoral process and corruption noted in previous editions remained a concern in 2009. Most worrying, however, is the increased number of rating declines for independent media: 10 countries regressed in media independence in 2009, half of those in new EU member states</t>
  </si>
  <si>
    <t>Justice</t>
  </si>
  <si>
    <t>The methodology questions encompass the entire spectrum of rights acknowledged in the UDHR, thereby addressing all aspects of women’s lives rather than concentrating solely on one set of rights. Each country is scored on a scale of 1 (no rights) to 5 (most rights) for 44 discrete questions that address five subcategories: Non-Discrimination and Access to Justice; Autonomy, Security, and Freedom of the Person; Economic Rights and Equal Opportunity; Political Rights and Civic Voice; Social and Cultural Rights.</t>
  </si>
  <si>
    <t>World Audit brings together statistics and reports from highly respected agencies, each with their own developed specialities. Freedom House, Transparency International, Amnesty International, Human Rights Watch, The International Commission of Jurists are THE names where political rights, civil liberties, press freedom, perceptions of corruption, human rights, and the rule of law, are concerned. From their admirable work we present and update the World Democracy Audit. Our reports monitor and rank every one of the 149 nation states with populations in excess of 1 million - thus 99% of the world's population. In addition, for purposes of comparison, we include the Table produced by the World Forum of Electoral Democracies. Finally, we have 210 country pages which include World Audit statistics and links to democracy and human rights country reports, and now The Index of Economic Freedom as well, a different kind of liberty to the other reported here.</t>
  </si>
  <si>
    <t>?</t>
  </si>
  <si>
    <t>aggregator of other indices</t>
  </si>
  <si>
    <t>Sum</t>
  </si>
  <si>
    <t>A summary presentation of the source</t>
  </si>
  <si>
    <t>Democracy, Human Rights, Justice, etc</t>
  </si>
  <si>
    <t>Are human rights significantly represented by specific indicators, either of positive law, enforcement, or duty bearer and right holder roles?</t>
  </si>
  <si>
    <t>What countries are covered by the data?</t>
  </si>
  <si>
    <t>Rights?</t>
  </si>
  <si>
    <t>HQ</t>
  </si>
  <si>
    <t>Geo-Scope</t>
  </si>
  <si>
    <t>Local Part`s</t>
  </si>
  <si>
    <t>Index?</t>
  </si>
  <si>
    <t>Multiple Indicators</t>
  </si>
  <si>
    <t>Onilne Analysis</t>
  </si>
  <si>
    <t>Digital Eng't</t>
  </si>
  <si>
    <t>Comments</t>
  </si>
  <si>
    <t>Where is the initiative based, and where is the methodology designed and the data analysed?</t>
  </si>
  <si>
    <t>Does the initiative have local teams, chapters or partners in in each of the countries covered, that play a strategicaly central role in the intitiative?</t>
  </si>
  <si>
    <t>Does the initiative produce a comparative index?</t>
  </si>
  <si>
    <t>Is the data primarily objective or subjective?</t>
  </si>
  <si>
    <t>Are the data sources primarily qualitative or quantitative</t>
  </si>
  <si>
    <t>Does the initiative produce multiple indicators?</t>
  </si>
  <si>
    <t>Is data available for download in manipulatable format, such as cvs, xls or spss?</t>
  </si>
  <si>
    <t>Is it possible to manipulate data online in order to compare and investigate?</t>
  </si>
  <si>
    <t>Does the initiative use social media platforms?</t>
  </si>
  <si>
    <t>Does the inititative visibly engage with country level partners through digital media openly available on their website?</t>
  </si>
  <si>
    <t>Name of the initiative</t>
  </si>
  <si>
    <t>web addresss</t>
  </si>
  <si>
    <t>Quant/Qual Source</t>
  </si>
  <si>
    <t>Obj/Subj Data</t>
  </si>
  <si>
    <t>edited in img</t>
  </si>
  <si>
    <t>http://www.weforum.org/issues/global-competitiveness</t>
  </si>
  <si>
    <t>Market</t>
  </si>
  <si>
    <t>US/Swiss/China</t>
  </si>
  <si>
    <t>The Human Rights Index measures the degree of lack of protection or noncompliance of the obligations of States in regard to human rights and the IHL in 195 countries (the 192 member states of the United Nations, as well as the Palestinian Authority, Taiwan and the Vatican) over a fixed period of time –set out in detail for each indicator– and according to different sources. It is comprised of 22 indicators divided into the following three dimensions: a) the non-ratification of the main instruments of International Law of Human Rights and International Humanitarian Law (IHL), b) the violation of the International Law of Human Rights and, c) violation of the International Humanitarian Law.</t>
  </si>
  <si>
    <r>
      <t>The data in the table below has been compiled by the </t>
    </r>
    <r>
      <rPr>
        <u/>
        <sz val="10"/>
        <color rgb="FF0000CC"/>
        <rFont val="Arial"/>
        <family val="2"/>
      </rPr>
      <t>Inter-Parliamentary Union</t>
    </r>
    <r>
      <rPr>
        <sz val="10"/>
        <color rgb="FF000000"/>
        <rFont val="Arial"/>
        <family val="2"/>
      </rPr>
      <t>on the basis of information provided by National Parliaments by 30 April 2011.187 countries are classified by descending order of the percentage of women in the lower or single House. Comparative data on the </t>
    </r>
    <r>
      <rPr>
        <u/>
        <sz val="10"/>
        <color rgb="FF0000CC"/>
        <rFont val="Arial"/>
        <family val="2"/>
      </rPr>
      <t>world and regional averages</t>
    </r>
    <r>
      <rPr>
        <sz val="10"/>
        <color rgb="FF000000"/>
        <rFont val="Arial"/>
        <family val="2"/>
      </rPr>
      <t> as well as data concerning the two </t>
    </r>
    <r>
      <rPr>
        <u/>
        <sz val="10"/>
        <color rgb="FF0000CC"/>
        <rFont val="Arial"/>
        <family val="2"/>
      </rPr>
      <t>regional parliamentary assemblies</t>
    </r>
    <r>
      <rPr>
        <sz val="10"/>
        <color rgb="FF000000"/>
        <rFont val="Arial"/>
        <family val="2"/>
      </rPr>
      <t> elected by direct suffrage can be found on separate pages. You can use the </t>
    </r>
    <r>
      <rPr>
        <u/>
        <sz val="10"/>
        <color rgb="FF0000CC"/>
        <rFont val="Arial"/>
        <family val="2"/>
      </rPr>
      <t>PARLINE database</t>
    </r>
    <r>
      <rPr>
        <sz val="10"/>
        <color rgb="FF000000"/>
        <rFont val="Arial"/>
        <family val="2"/>
      </rPr>
      <t> to view detailed results of parliamentary elections by country.</t>
    </r>
  </si>
  <si>
    <t>The Global Competitiveness Report’s competitiveness ranking is based on the Global Competitiveness Index (GCI), developed for the World Economic Forum by Sala-i-Martin and first introduced in 2004. The GCI is based on 12 pillars of competitiveness, providing a comprehensive picture of the competitiveness landscape in countries around the world at all stages of development. The pillars are: institutions, infrastructure, macroeconomic environment, health and primary education, higher education and training, goods market efficiency, labour market efficiency, financial market development, technological readiness, market size, business sophistication, and innovation.</t>
  </si>
  <si>
    <t>The Index provides detailed information and original data regarding a variety of dimensions of the rule of law, which enables stakeholders to assess a nation’s adherence to the rule of law in practice, identify a nation’s strengths and weaknesses in comparison to other countries, and track changes over time.</t>
  </si>
  <si>
    <t xml:space="preserve">Latinobarómetro Corporation researches the development of democracy and economies as well as societies, using indicators of opinion, attitudes, behaviour and values. Its results are used by social and political actors, international organizations, governments and the media. </t>
  </si>
  <si>
    <t>Is the data based primarily on public opinion polls and broad perception surveys?</t>
  </si>
  <si>
    <t>Pub Op?</t>
  </si>
  <si>
    <t>no social contract focus</t>
  </si>
  <si>
    <r>
      <t>Reseon For Not including in Analysis</t>
    </r>
    <r>
      <rPr>
        <sz val="10"/>
        <rFont val="Arial"/>
        <family val="2"/>
      </rPr>
      <t xml:space="preserve"> 
(if not active after 2007, date for last data)</t>
    </r>
  </si>
  <si>
    <t>discontinued, redundant (Human  Dev Index)</t>
  </si>
  <si>
    <t>http://hdr.undp.org/en/</t>
  </si>
  <si>
    <t xml:space="preserve">development </t>
  </si>
  <si>
    <t>Human Development Report</t>
  </si>
  <si>
    <t>The 2010 Human Development Report’s review of human development trends showed that most developing countries made dramatic yet often underestimated progress in health, education and basic living standards since 1970 with many of the poorest countries posting the greatest gains.
In the 2010 Report, the Sultanate of Oman was reported to be the most improved country in the past 40 years out of the 135 countries assessed (the report reported on improvement in the period 1970-2010). Oman's strides in education, women empowerment and health care under the patronage of the current Sultan of Oman led to it securing the 1st position.
Several new indices have been introduced over the years in different reports, including the Human Development Index, the Gender-related Development Index, the Gender Empowerment Measure, the Human Poverty Index.[2] The Gender-related Development Index, the Gender Empowerment Measure and the Human Poverty Index were removed in 2010. The 2010 Human Development Report introduced three new indices the Inequality-adjusted Human Development Index, the Gender Inequality Index, and the Multidimensional Poverty Index. Each Report has its own focus drawn from contemporary debate.</t>
  </si>
  <si>
    <t>3=
 both</t>
  </si>
  <si>
    <r>
      <rPr>
        <b/>
        <sz val="11"/>
        <color theme="1"/>
        <rFont val="Calibri"/>
        <family val="2"/>
        <scheme val="minor"/>
      </rPr>
      <t>1=</t>
    </r>
    <r>
      <rPr>
        <sz val="11"/>
        <color theme="1"/>
        <rFont val="Calibri"/>
        <family val="2"/>
        <scheme val="minor"/>
      </rPr>
      <t xml:space="preserve"> yes</t>
    </r>
  </si>
  <si>
    <r>
      <rPr>
        <b/>
        <sz val="11"/>
        <color theme="1"/>
        <rFont val="Calibri"/>
        <family val="2"/>
        <scheme val="minor"/>
      </rPr>
      <t xml:space="preserve">0= </t>
    </r>
    <r>
      <rPr>
        <sz val="11"/>
        <color theme="1"/>
        <rFont val="Calibri"/>
        <family val="2"/>
        <scheme val="minor"/>
      </rPr>
      <t>no</t>
    </r>
  </si>
  <si>
    <r>
      <rPr>
        <b/>
        <sz val="11"/>
        <color theme="1"/>
        <rFont val="Calibri"/>
        <family val="2"/>
        <scheme val="minor"/>
      </rPr>
      <t>2=</t>
    </r>
    <r>
      <rPr>
        <sz val="11"/>
        <color theme="1"/>
        <rFont val="Calibri"/>
        <family val="2"/>
        <scheme val="minor"/>
      </rPr>
      <t xml:space="preserve">  in a significant portion of the countries covered</t>
    </r>
  </si>
  <si>
    <r>
      <rPr>
        <b/>
        <sz val="11"/>
        <color theme="1"/>
        <rFont val="Calibri"/>
        <family val="2"/>
        <scheme val="minor"/>
      </rPr>
      <t xml:space="preserve">1= </t>
    </r>
    <r>
      <rPr>
        <sz val="11"/>
        <color theme="1"/>
        <rFont val="Calibri"/>
        <family val="2"/>
        <scheme val="minor"/>
      </rPr>
      <t>objective</t>
    </r>
  </si>
  <si>
    <r>
      <rPr>
        <b/>
        <sz val="11"/>
        <color theme="1"/>
        <rFont val="Calibri"/>
        <family val="2"/>
        <scheme val="minor"/>
      </rPr>
      <t>2=</t>
    </r>
    <r>
      <rPr>
        <sz val="11"/>
        <color theme="1"/>
        <rFont val="Calibri"/>
        <family val="2"/>
        <scheme val="minor"/>
      </rPr>
      <t xml:space="preserve"> subjective</t>
    </r>
  </si>
  <si>
    <r>
      <rPr>
        <b/>
        <sz val="11"/>
        <color theme="1"/>
        <rFont val="Calibri"/>
        <family val="2"/>
        <scheme val="minor"/>
      </rPr>
      <t>2=</t>
    </r>
    <r>
      <rPr>
        <sz val="11"/>
        <color theme="1"/>
        <rFont val="Calibri"/>
        <family val="2"/>
        <scheme val="minor"/>
      </rPr>
      <t xml:space="preserve"> qualitative</t>
    </r>
  </si>
  <si>
    <r>
      <rPr>
        <b/>
        <sz val="11"/>
        <color theme="1"/>
        <rFont val="Calibri"/>
        <family val="2"/>
        <scheme val="minor"/>
      </rPr>
      <t>1=</t>
    </r>
    <r>
      <rPr>
        <sz val="11"/>
        <color theme="1"/>
        <rFont val="Calibri"/>
        <family val="2"/>
        <scheme val="minor"/>
      </rPr>
      <t xml:space="preserve"> quantitative</t>
    </r>
  </si>
  <si>
    <r>
      <rPr>
        <b/>
        <sz val="11"/>
        <color theme="1"/>
        <rFont val="Calibri"/>
        <family val="2"/>
        <scheme val="minor"/>
      </rPr>
      <t xml:space="preserve">4= </t>
    </r>
    <r>
      <rPr>
        <sz val="11"/>
        <color theme="1"/>
        <rFont val="Calibri"/>
        <family val="2"/>
        <scheme val="minor"/>
      </rPr>
      <t>engages with multiple sectors in a constituve process</t>
    </r>
  </si>
  <si>
    <r>
      <rPr>
        <b/>
        <sz val="11"/>
        <color theme="1"/>
        <rFont val="Calibri"/>
        <family val="2"/>
        <scheme val="minor"/>
      </rPr>
      <t>0=</t>
    </r>
    <r>
      <rPr>
        <sz val="11"/>
        <color theme="1"/>
        <rFont val="Calibri"/>
        <family val="2"/>
        <scheme val="minor"/>
      </rPr>
      <t xml:space="preserve"> no</t>
    </r>
  </si>
  <si>
    <r>
      <rPr>
        <b/>
        <sz val="11"/>
        <color theme="1"/>
        <rFont val="Calibri"/>
        <family val="2"/>
        <scheme val="minor"/>
      </rPr>
      <t xml:space="preserve">4= </t>
    </r>
    <r>
      <rPr>
        <sz val="11"/>
        <color theme="1"/>
        <rFont val="Calibri"/>
        <family val="2"/>
        <scheme val="minor"/>
      </rPr>
      <t>innovative digital media use</t>
    </r>
  </si>
  <si>
    <r>
      <rPr>
        <b/>
        <sz val="11"/>
        <color theme="1"/>
        <rFont val="Calibri"/>
        <family val="2"/>
        <scheme val="minor"/>
      </rPr>
      <t>3=</t>
    </r>
    <r>
      <rPr>
        <sz val="11"/>
        <color theme="1"/>
        <rFont val="Calibri"/>
        <family val="2"/>
        <scheme val="minor"/>
      </rPr>
      <t xml:space="preserve"> broad social media portfolio</t>
    </r>
  </si>
  <si>
    <r>
      <rPr>
        <b/>
        <sz val="11"/>
        <color theme="1"/>
        <rFont val="Calibri"/>
        <family val="2"/>
        <scheme val="minor"/>
      </rPr>
      <t>2=</t>
    </r>
    <r>
      <rPr>
        <sz val="11"/>
        <color theme="1"/>
        <rFont val="Calibri"/>
        <family val="2"/>
        <scheme val="minor"/>
      </rPr>
      <t xml:space="preserve">  dissemination of information</t>
    </r>
  </si>
  <si>
    <r>
      <rPr>
        <b/>
        <sz val="11"/>
        <color theme="1"/>
        <rFont val="Calibri"/>
        <family val="2"/>
        <scheme val="minor"/>
      </rPr>
      <t xml:space="preserve">1= </t>
    </r>
    <r>
      <rPr>
        <sz val="11"/>
        <color theme="1"/>
        <rFont val="Calibri"/>
        <family val="2"/>
        <scheme val="minor"/>
      </rPr>
      <t>social sharing functionality</t>
    </r>
  </si>
  <si>
    <r>
      <rPr>
        <b/>
        <sz val="10"/>
        <color theme="1"/>
        <rFont val="Arial"/>
        <family val="2"/>
      </rPr>
      <t xml:space="preserve">1= </t>
    </r>
    <r>
      <rPr>
        <sz val="10"/>
        <color theme="1"/>
        <rFont val="Arial"/>
        <family val="2"/>
      </rPr>
      <t xml:space="preserve"> minor "clicktivism" such as liking and minimal commenting</t>
    </r>
  </si>
  <si>
    <r>
      <rPr>
        <b/>
        <sz val="10"/>
        <color theme="1"/>
        <rFont val="Arial"/>
        <family val="2"/>
      </rPr>
      <t>2=</t>
    </r>
    <r>
      <rPr>
        <sz val="10"/>
        <color theme="1"/>
        <rFont val="Arial"/>
        <family val="2"/>
      </rPr>
      <t xml:space="preserve"> moderate engagement, such as 2nd order comments or 2 way blog communication</t>
    </r>
  </si>
  <si>
    <r>
      <rPr>
        <b/>
        <sz val="10"/>
        <color theme="1"/>
        <rFont val="Arial"/>
        <family val="2"/>
      </rPr>
      <t>3=</t>
    </r>
    <r>
      <rPr>
        <sz val="10"/>
        <color theme="1"/>
        <rFont val="Arial"/>
        <family val="2"/>
      </rPr>
      <t xml:space="preserve"> in-depth and substantive engagement on issues  related to the intiative or data</t>
    </r>
  </si>
  <si>
    <t>http://www.civicus.org</t>
  </si>
  <si>
    <t>all</t>
  </si>
  <si>
    <t>rights</t>
  </si>
  <si>
    <t>Eur &amp; CIS</t>
  </si>
  <si>
    <t>Africa</t>
  </si>
  <si>
    <t>local part</t>
  </si>
  <si>
    <t>Meaningful dig eng</t>
  </si>
  <si>
    <t>Sig SM use</t>
  </si>
  <si>
    <t>"Gl. North"</t>
  </si>
  <si>
    <t>"Gl. South"</t>
  </si>
  <si>
    <t>any online analysis</t>
  </si>
  <si>
    <t>custom online analysis</t>
  </si>
  <si>
    <t>Any soc media Use</t>
  </si>
  <si>
    <t>Significant soc media Use</t>
  </si>
  <si>
    <t>any digital engagement</t>
  </si>
  <si>
    <t>Rights-focused data</t>
  </si>
  <si>
    <t>significant digital engagement</t>
  </si>
  <si>
    <t>free data download</t>
  </si>
  <si>
    <t>restricted download</t>
  </si>
  <si>
    <t>Actionable Governance Indicators</t>
  </si>
  <si>
    <t>World Development Indicators</t>
  </si>
  <si>
    <t>Media Map</t>
  </si>
  <si>
    <t>functionality appears to be broken</t>
  </si>
  <si>
    <t>media</t>
  </si>
  <si>
    <t>check how the api works</t>
  </si>
  <si>
    <t>World Governance Assesment</t>
  </si>
  <si>
    <t>Digital Outreach</t>
  </si>
  <si>
    <t>Type of Data Source</t>
  </si>
  <si>
    <t>All</t>
  </si>
  <si>
    <t>Initiatives producing comparative indices</t>
  </si>
  <si>
    <t>Initiatives w / 
local partners</t>
  </si>
  <si>
    <r>
      <rPr>
        <b/>
        <sz val="11"/>
        <color theme="1"/>
        <rFont val="Calibri"/>
        <family val="2"/>
        <scheme val="minor"/>
      </rPr>
      <t>1</t>
    </r>
    <r>
      <rPr>
        <sz val="11"/>
        <color theme="1"/>
        <rFont val="Calibri"/>
        <family val="2"/>
        <scheme val="minor"/>
      </rPr>
      <t xml:space="preserve"> civil society</t>
    </r>
  </si>
  <si>
    <r>
      <rPr>
        <b/>
        <sz val="11"/>
        <color theme="1"/>
        <rFont val="Calibri"/>
        <family val="2"/>
        <scheme val="minor"/>
      </rPr>
      <t>2</t>
    </r>
    <r>
      <rPr>
        <sz val="11"/>
        <color theme="1"/>
        <rFont val="Calibri"/>
        <family val="2"/>
        <scheme val="minor"/>
      </rPr>
      <t xml:space="preserve"> government </t>
    </r>
  </si>
  <si>
    <r>
      <rPr>
        <b/>
        <sz val="11"/>
        <color theme="1"/>
        <rFont val="Calibri"/>
        <family val="2"/>
        <scheme val="minor"/>
      </rPr>
      <t>3=</t>
    </r>
    <r>
      <rPr>
        <sz val="11"/>
        <color theme="1"/>
        <rFont val="Calibri"/>
        <family val="2"/>
        <scheme val="minor"/>
      </rPr>
      <t xml:space="preserve"> experts</t>
    </r>
  </si>
  <si>
    <t>1,3</t>
  </si>
  <si>
    <t>Digital Outreach by Data Source Characteristics</t>
  </si>
  <si>
    <t>Miscellaneous Frequencies</t>
  </si>
  <si>
    <t>TOTAL # of data sources</t>
  </si>
  <si>
    <t>% = % of  datasources w local engagement</t>
  </si>
  <si>
    <t>% = % of  datasources w local partners</t>
  </si>
  <si>
    <t>% = %  of rights-focused datasources</t>
  </si>
  <si>
    <t>rights-focus</t>
  </si>
  <si>
    <t xml:space="preserve"> </t>
  </si>
  <si>
    <t>Const' Eng't</t>
  </si>
  <si>
    <t>Inititives with constitutive engagement</t>
  </si>
  <si>
    <t>Does the initiative engage with country level actors in consituting the assessment, for example, to inform   methodology, data collection, data analysis and dissemination of results?</t>
  </si>
  <si>
    <t>Global Sources for National Data on Development and Human Rights</t>
  </si>
  <si>
    <t>The primary World Bank collection of development indicators, compiled from officially-recognized international sources. It presents the most current and accurate global development data available, and includes national, regional and global estimates.</t>
  </si>
  <si>
    <t>http://data.worldbank.org/data-catalog/world-development-indicators</t>
  </si>
  <si>
    <t>https://www.agidata.org/site/</t>
  </si>
  <si>
    <t>The AGI Data Portal consolidates information on actionable governance indicators, provides a one-stop-shop platform to navigate these indicators and their documents and offers customized tools for data management, analysis and display.</t>
  </si>
  <si>
    <t>http://www.mediamapresource.org/beta/</t>
  </si>
  <si>
    <t xml:space="preserve">The Media Map Project is a multi-faceted research collaboration between Internews, the World Bank Institute, and the Brookings Institution. With funding from the Bill &amp; Melinda Gates Foundation, the projects aims to better understand the interrelations between media development and outcomes in democracy and governance, economic growth, poverty reduction, human rights, gender equality, and health. 
Through research, public events, and the data made available on this site for public use and extended research, the project aims to engage the development sector in greater understanding and exploration of the role of media and information access in development. </t>
  </si>
  <si>
    <r>
      <rPr>
        <b/>
        <sz val="11"/>
        <color theme="1"/>
        <rFont val="Calibri"/>
        <family val="2"/>
        <scheme val="minor"/>
      </rPr>
      <t>1=</t>
    </r>
    <r>
      <rPr>
        <sz val="11"/>
        <color theme="1"/>
        <rFont val="Calibri"/>
        <family val="2"/>
        <scheme val="minor"/>
      </rPr>
      <t xml:space="preserve"> interactive charts and/or maps</t>
    </r>
  </si>
  <si>
    <r>
      <rPr>
        <b/>
        <sz val="11"/>
        <color theme="1"/>
        <rFont val="Calibri"/>
        <family val="2"/>
        <scheme val="minor"/>
      </rPr>
      <t xml:space="preserve">2= </t>
    </r>
    <r>
      <rPr>
        <sz val="11"/>
        <color theme="1"/>
        <rFont val="Calibri"/>
        <family val="2"/>
        <scheme val="minor"/>
      </rPr>
      <t xml:space="preserve"> in addition to c/m, data can be manipulated online to execute specifica analysis and produce custom reports</t>
    </r>
  </si>
  <si>
    <r>
      <rPr>
        <b/>
        <sz val="11"/>
        <color theme="1"/>
        <rFont val="Calibri"/>
        <family val="2"/>
        <scheme val="minor"/>
      </rPr>
      <t>3=</t>
    </r>
    <r>
      <rPr>
        <sz val="11"/>
        <color theme="1"/>
        <rFont val="Calibri"/>
        <family val="2"/>
        <scheme val="minor"/>
      </rPr>
      <t xml:space="preserve"> in addition to c/m, data may be manipulated through a downloadable software application</t>
    </r>
  </si>
  <si>
    <r>
      <rPr>
        <b/>
        <sz val="11"/>
        <color theme="1"/>
        <rFont val="Calibri"/>
        <family val="2"/>
        <scheme val="minor"/>
      </rPr>
      <t>1</t>
    </r>
    <r>
      <rPr>
        <sz val="11"/>
        <color theme="1"/>
        <rFont val="Calibri"/>
        <family val="2"/>
        <scheme val="minor"/>
      </rPr>
      <t xml:space="preserve"> must register</t>
    </r>
  </si>
  <si>
    <r>
      <rPr>
        <b/>
        <sz val="11"/>
        <color theme="1"/>
        <rFont val="Calibri"/>
        <family val="2"/>
        <scheme val="minor"/>
      </rPr>
      <t xml:space="preserve"> 2</t>
    </r>
    <r>
      <rPr>
        <sz val="11"/>
        <color theme="1"/>
        <rFont val="Calibri"/>
        <family val="2"/>
        <scheme val="minor"/>
      </rPr>
      <t xml:space="preserve">  must apply</t>
    </r>
  </si>
  <si>
    <r>
      <rPr>
        <b/>
        <sz val="11"/>
        <color theme="1"/>
        <rFont val="Calibri"/>
        <family val="2"/>
        <scheme val="minor"/>
      </rPr>
      <t xml:space="preserve">3 </t>
    </r>
    <r>
      <rPr>
        <sz val="11"/>
        <color theme="1"/>
        <rFont val="Calibri"/>
        <family val="2"/>
        <scheme val="minor"/>
      </rPr>
      <t>must pay</t>
    </r>
  </si>
</sst>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10"/>
      <name val="Arial"/>
      <family val="2"/>
    </font>
    <font>
      <u/>
      <sz val="11"/>
      <color theme="10"/>
      <name val="Calibri"/>
      <family val="2"/>
    </font>
    <font>
      <u/>
      <sz val="11"/>
      <color theme="11"/>
      <name val="Calibri"/>
      <family val="2"/>
      <scheme val="minor"/>
    </font>
    <font>
      <b/>
      <sz val="10"/>
      <name val="Arial"/>
      <family val="2"/>
    </font>
    <font>
      <b/>
      <sz val="11"/>
      <color theme="1"/>
      <name val="Calibri"/>
      <family val="2"/>
      <scheme val="minor"/>
    </font>
    <font>
      <u/>
      <sz val="10"/>
      <color theme="10"/>
      <name val="Calibri"/>
      <family val="2"/>
    </font>
    <font>
      <sz val="10"/>
      <color theme="1"/>
      <name val="Calibri"/>
      <family val="2"/>
      <scheme val="minor"/>
    </font>
    <font>
      <b/>
      <sz val="10"/>
      <color theme="1"/>
      <name val="Calibri"/>
      <family val="2"/>
      <scheme val="minor"/>
    </font>
    <font>
      <u/>
      <sz val="10"/>
      <color theme="10"/>
      <name val="Arial"/>
      <family val="2"/>
    </font>
    <font>
      <sz val="10"/>
      <color theme="1"/>
      <name val="Arial"/>
      <family val="2"/>
    </font>
    <font>
      <sz val="10"/>
      <color rgb="FF4A4B4C"/>
      <name val="Arial"/>
      <family val="2"/>
    </font>
    <font>
      <sz val="10"/>
      <color rgb="FF000000"/>
      <name val="Arial"/>
      <family val="2"/>
    </font>
    <font>
      <b/>
      <sz val="10"/>
      <color theme="1"/>
      <name val="Arial"/>
      <family val="2"/>
    </font>
    <font>
      <sz val="10"/>
      <color rgb="FF666666"/>
      <name val="Arial"/>
      <family val="2"/>
    </font>
    <font>
      <u/>
      <sz val="10"/>
      <color rgb="FF0000CC"/>
      <name val="Arial"/>
      <family val="2"/>
    </font>
    <font>
      <sz val="18"/>
      <color theme="1"/>
      <name val="Calibri"/>
      <family val="2"/>
      <scheme val="minor"/>
    </font>
    <font>
      <u/>
      <sz val="10"/>
      <color indexed="12"/>
      <name val="Arial"/>
      <family val="2"/>
    </font>
    <font>
      <b/>
      <u/>
      <sz val="11"/>
      <color theme="1"/>
      <name val="Calibri"/>
      <family val="2"/>
      <scheme val="minor"/>
    </font>
    <font>
      <sz val="16"/>
      <color theme="1"/>
      <name val="Calibri"/>
      <family val="2"/>
      <scheme val="minor"/>
    </font>
    <font>
      <sz val="10"/>
      <color rgb="FF403E3C"/>
      <name val="Arial"/>
      <family val="2"/>
    </font>
  </fonts>
  <fills count="6">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6" tint="0.79998168889431442"/>
        <bgColor indexed="64"/>
      </patternFill>
    </fill>
  </fills>
  <borders count="29">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style="medium">
        <color indexed="64"/>
      </bottom>
      <diagonal/>
    </border>
    <border>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s>
  <cellStyleXfs count="10">
    <xf numFmtId="0" fontId="0" fillId="0" borderId="0"/>
    <xf numFmtId="0" fontId="1" fillId="0" borderId="0"/>
    <xf numFmtId="0" fontId="2" fillId="0" borderId="0" applyNumberFormat="0" applyFill="0" applyBorder="0" applyAlignment="0" applyProtection="0">
      <alignment vertical="top"/>
      <protection locked="0"/>
    </xf>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159">
    <xf numFmtId="0" fontId="0" fillId="0" borderId="0" xfId="0"/>
    <xf numFmtId="0" fontId="2" fillId="0" borderId="0" xfId="2" applyAlignment="1" applyProtection="1"/>
    <xf numFmtId="0" fontId="0" fillId="0" borderId="0" xfId="0" applyAlignment="1">
      <alignment wrapText="1"/>
    </xf>
    <xf numFmtId="0" fontId="0" fillId="2" borderId="0" xfId="0" applyFill="1" applyBorder="1" applyAlignment="1">
      <alignment horizontal="center" wrapText="1"/>
    </xf>
    <xf numFmtId="0" fontId="0" fillId="0" borderId="0" xfId="0" applyAlignment="1">
      <alignment horizontal="center" wrapText="1"/>
    </xf>
    <xf numFmtId="0" fontId="0" fillId="0" borderId="0" xfId="0" applyAlignment="1">
      <alignment horizontal="left" vertical="top" wrapText="1"/>
    </xf>
    <xf numFmtId="0" fontId="0" fillId="0" borderId="0" xfId="0" applyAlignment="1">
      <alignment vertical="top" wrapText="1"/>
    </xf>
    <xf numFmtId="0" fontId="1" fillId="0" borderId="0" xfId="0" applyFont="1"/>
    <xf numFmtId="0" fontId="2" fillId="0" borderId="0" xfId="2" applyAlignment="1" applyProtection="1">
      <alignment horizontal="left" vertical="top" wrapText="1"/>
    </xf>
    <xf numFmtId="0" fontId="1" fillId="0" borderId="0" xfId="0" applyFont="1" applyAlignment="1">
      <alignment horizontal="left" vertical="top" wrapText="1"/>
    </xf>
    <xf numFmtId="0" fontId="1" fillId="0" borderId="0" xfId="0" applyFont="1" applyAlignment="1">
      <alignment vertical="top"/>
    </xf>
    <xf numFmtId="0" fontId="4" fillId="0" borderId="0" xfId="0" applyFont="1" applyAlignment="1">
      <alignment wrapText="1"/>
    </xf>
    <xf numFmtId="0" fontId="4" fillId="2" borderId="0" xfId="0" applyFont="1" applyFill="1" applyAlignment="1">
      <alignment horizontal="center" vertical="top" wrapText="1"/>
    </xf>
    <xf numFmtId="0" fontId="4" fillId="2" borderId="0" xfId="0" applyFont="1" applyFill="1" applyAlignment="1">
      <alignment horizontal="center" wrapText="1"/>
    </xf>
    <xf numFmtId="0" fontId="1" fillId="0" borderId="0" xfId="1" applyFont="1" applyBorder="1"/>
    <xf numFmtId="0" fontId="1" fillId="0" borderId="0" xfId="1" applyFont="1" applyBorder="1" applyAlignment="1">
      <alignment wrapText="1"/>
    </xf>
    <xf numFmtId="0" fontId="7" fillId="0" borderId="0" xfId="0" applyFont="1"/>
    <xf numFmtId="0" fontId="1" fillId="0" borderId="0" xfId="1" applyFont="1" applyFill="1" applyBorder="1" applyAlignment="1">
      <alignment wrapText="1"/>
    </xf>
    <xf numFmtId="0" fontId="1" fillId="0" borderId="0" xfId="1" applyFont="1" applyFill="1" applyBorder="1"/>
    <xf numFmtId="0" fontId="7" fillId="0" borderId="0" xfId="0" applyFont="1" applyAlignment="1">
      <alignment horizontal="left" vertical="top" wrapText="1"/>
    </xf>
    <xf numFmtId="0" fontId="7" fillId="0" borderId="0" xfId="0" applyFont="1" applyAlignment="1">
      <alignment vertical="top" wrapText="1"/>
    </xf>
    <xf numFmtId="0" fontId="7" fillId="0" borderId="0" xfId="0" applyFont="1" applyAlignment="1">
      <alignment vertical="top"/>
    </xf>
    <xf numFmtId="0" fontId="9" fillId="0" borderId="0" xfId="2" applyFont="1" applyAlignment="1" applyProtection="1"/>
    <xf numFmtId="0" fontId="10" fillId="0" borderId="0" xfId="0" applyFont="1"/>
    <xf numFmtId="0" fontId="9" fillId="0" borderId="0" xfId="2" applyFont="1" applyBorder="1" applyAlignment="1" applyProtection="1"/>
    <xf numFmtId="0" fontId="10" fillId="0" borderId="0" xfId="1" applyFont="1" applyFill="1" applyBorder="1"/>
    <xf numFmtId="0" fontId="10" fillId="0" borderId="0" xfId="0" applyFont="1" applyAlignment="1">
      <alignment horizontal="left" vertical="top" wrapText="1"/>
    </xf>
    <xf numFmtId="0" fontId="9" fillId="0" borderId="0" xfId="2" applyFont="1" applyAlignment="1" applyProtection="1">
      <alignment horizontal="left" vertical="top" wrapText="1"/>
    </xf>
    <xf numFmtId="0" fontId="10" fillId="0" borderId="0" xfId="0" applyFont="1" applyAlignment="1">
      <alignment wrapText="1"/>
    </xf>
    <xf numFmtId="0" fontId="10" fillId="0" borderId="0" xfId="0" applyFont="1" applyAlignment="1">
      <alignment vertical="top" wrapText="1"/>
    </xf>
    <xf numFmtId="0" fontId="10" fillId="0" borderId="0" xfId="0" applyFont="1" applyAlignment="1">
      <alignment vertical="top"/>
    </xf>
    <xf numFmtId="0" fontId="11" fillId="0" borderId="0" xfId="0" applyFont="1"/>
    <xf numFmtId="0" fontId="12" fillId="0" borderId="0" xfId="0" applyFont="1"/>
    <xf numFmtId="0" fontId="14" fillId="0" borderId="0" xfId="0" applyFont="1"/>
    <xf numFmtId="0" fontId="10" fillId="0" borderId="0" xfId="0" applyFont="1" applyAlignment="1">
      <alignment horizontal="justify"/>
    </xf>
    <xf numFmtId="0" fontId="16" fillId="0" borderId="0" xfId="0" applyFont="1" applyAlignment="1">
      <alignment horizontal="left"/>
    </xf>
    <xf numFmtId="0" fontId="0" fillId="0" borderId="0" xfId="0" applyFont="1"/>
    <xf numFmtId="0" fontId="0" fillId="2" borderId="0" xfId="0" applyFont="1" applyFill="1" applyBorder="1" applyAlignment="1">
      <alignment horizontal="center" wrapText="1"/>
    </xf>
    <xf numFmtId="0" fontId="0" fillId="0" borderId="0" xfId="0" applyFont="1" applyAlignment="1">
      <alignment horizontal="center" wrapText="1"/>
    </xf>
    <xf numFmtId="0" fontId="0" fillId="0" borderId="1" xfId="0" applyBorder="1"/>
    <xf numFmtId="0" fontId="0" fillId="0" borderId="0" xfId="0" applyFont="1" applyAlignment="1">
      <alignment horizontal="left" vertical="top" wrapText="1"/>
    </xf>
    <xf numFmtId="0" fontId="0" fillId="0" borderId="0" xfId="0" applyAlignment="1"/>
    <xf numFmtId="0" fontId="8" fillId="2" borderId="0" xfId="0" applyFont="1" applyFill="1" applyBorder="1" applyAlignment="1">
      <alignment horizontal="left" vertical="top"/>
    </xf>
    <xf numFmtId="0" fontId="0" fillId="0" borderId="0" xfId="0" applyBorder="1" applyAlignment="1">
      <alignment horizontal="left" vertical="top"/>
    </xf>
    <xf numFmtId="0" fontId="0" fillId="0" borderId="0" xfId="0" applyBorder="1" applyAlignment="1">
      <alignment horizontal="left" vertical="top" wrapText="1"/>
    </xf>
    <xf numFmtId="0" fontId="0" fillId="0" borderId="0" xfId="0" applyFont="1" applyBorder="1" applyAlignment="1">
      <alignment horizontal="left" vertical="top"/>
    </xf>
    <xf numFmtId="0" fontId="0" fillId="0" borderId="0" xfId="0" applyFont="1" applyBorder="1" applyAlignment="1">
      <alignment horizontal="left" vertical="top" wrapText="1"/>
    </xf>
    <xf numFmtId="0" fontId="10" fillId="0" borderId="0" xfId="0" applyFont="1" applyBorder="1" applyAlignment="1">
      <alignment horizontal="left" vertical="top" wrapText="1"/>
    </xf>
    <xf numFmtId="0" fontId="0" fillId="0" borderId="0" xfId="0" applyFont="1" applyAlignment="1">
      <alignment wrapText="1"/>
    </xf>
    <xf numFmtId="0" fontId="0" fillId="0" borderId="1" xfId="0" applyFont="1" applyBorder="1" applyAlignment="1">
      <alignment horizontal="left" vertical="top"/>
    </xf>
    <xf numFmtId="0" fontId="0" fillId="0" borderId="1" xfId="0" applyFont="1" applyBorder="1" applyAlignment="1">
      <alignment wrapText="1"/>
    </xf>
    <xf numFmtId="0" fontId="0" fillId="0" borderId="1" xfId="0" applyFont="1" applyBorder="1" applyAlignment="1">
      <alignment horizontal="left" vertical="top" wrapText="1"/>
    </xf>
    <xf numFmtId="0" fontId="8" fillId="2" borderId="1" xfId="0" applyFont="1" applyFill="1" applyBorder="1" applyAlignment="1">
      <alignment horizontal="left" vertical="top"/>
    </xf>
    <xf numFmtId="0" fontId="0" fillId="0" borderId="1" xfId="0" applyBorder="1" applyAlignment="1">
      <alignment horizontal="left" vertical="top" wrapText="1"/>
    </xf>
    <xf numFmtId="0" fontId="1" fillId="0" borderId="0" xfId="0" applyFont="1" applyAlignment="1">
      <alignment horizontal="center"/>
    </xf>
    <xf numFmtId="0" fontId="0" fillId="2" borderId="0" xfId="0" applyFill="1" applyBorder="1" applyAlignment="1">
      <alignment horizontal="left" vertical="top"/>
    </xf>
    <xf numFmtId="0" fontId="7" fillId="0" borderId="1" xfId="0" applyFont="1" applyBorder="1"/>
    <xf numFmtId="0" fontId="7" fillId="0" borderId="0" xfId="0" applyFont="1" applyAlignment="1">
      <alignment horizontal="center"/>
    </xf>
    <xf numFmtId="0" fontId="7" fillId="0" borderId="1" xfId="0" applyFont="1" applyBorder="1" applyAlignment="1"/>
    <xf numFmtId="0" fontId="4" fillId="2" borderId="0" xfId="0" applyFont="1" applyFill="1" applyAlignment="1">
      <alignment horizontal="center" vertical="top"/>
    </xf>
    <xf numFmtId="0" fontId="6" fillId="0" borderId="0" xfId="2" applyFont="1" applyAlignment="1" applyProtection="1">
      <alignment horizontal="left" vertical="top"/>
    </xf>
    <xf numFmtId="0" fontId="7" fillId="0" borderId="0" xfId="0" applyFont="1" applyAlignment="1">
      <alignment horizontal="left" vertical="top"/>
    </xf>
    <xf numFmtId="0" fontId="17" fillId="0" borderId="0" xfId="2" applyFont="1" applyAlignment="1" applyProtection="1">
      <alignment horizontal="left" vertical="top"/>
    </xf>
    <xf numFmtId="0" fontId="6" fillId="0" borderId="0" xfId="2" applyFont="1" applyAlignment="1" applyProtection="1">
      <alignment vertical="top"/>
    </xf>
    <xf numFmtId="9" fontId="0" fillId="0" borderId="0" xfId="0" applyNumberFormat="1"/>
    <xf numFmtId="0" fontId="0" fillId="0" borderId="2" xfId="0" applyBorder="1"/>
    <xf numFmtId="9" fontId="0" fillId="0" borderId="2" xfId="0" applyNumberFormat="1" applyBorder="1"/>
    <xf numFmtId="0" fontId="5" fillId="0" borderId="0" xfId="0" applyFont="1" applyBorder="1"/>
    <xf numFmtId="1" fontId="0" fillId="0" borderId="0" xfId="0" applyNumberFormat="1"/>
    <xf numFmtId="0" fontId="0" fillId="0" borderId="10" xfId="0" applyBorder="1"/>
    <xf numFmtId="9" fontId="0" fillId="0" borderId="7" xfId="0" applyNumberFormat="1" applyBorder="1"/>
    <xf numFmtId="9" fontId="0" fillId="0" borderId="0" xfId="0" applyNumberFormat="1" applyBorder="1"/>
    <xf numFmtId="9" fontId="0" fillId="0" borderId="11" xfId="0" applyNumberFormat="1" applyBorder="1"/>
    <xf numFmtId="1" fontId="0" fillId="0" borderId="10" xfId="0" applyNumberFormat="1" applyBorder="1"/>
    <xf numFmtId="0" fontId="5" fillId="0" borderId="0" xfId="0" applyFont="1"/>
    <xf numFmtId="9" fontId="5" fillId="0" borderId="9" xfId="0" applyNumberFormat="1" applyFont="1" applyBorder="1"/>
    <xf numFmtId="1" fontId="5" fillId="0" borderId="8" xfId="0" applyNumberFormat="1" applyFont="1" applyBorder="1"/>
    <xf numFmtId="9" fontId="5" fillId="0" borderId="1" xfId="0" applyNumberFormat="1" applyFont="1" applyBorder="1"/>
    <xf numFmtId="9" fontId="5" fillId="0" borderId="7" xfId="0" applyNumberFormat="1" applyFont="1" applyBorder="1"/>
    <xf numFmtId="1" fontId="5" fillId="0" borderId="6" xfId="0" applyNumberFormat="1" applyFont="1" applyBorder="1"/>
    <xf numFmtId="9" fontId="5" fillId="0" borderId="0" xfId="0" applyNumberFormat="1" applyFont="1" applyBorder="1"/>
    <xf numFmtId="0" fontId="5" fillId="0" borderId="6" xfId="0" applyFont="1" applyBorder="1"/>
    <xf numFmtId="0" fontId="0" fillId="0" borderId="0" xfId="0" applyFont="1" applyAlignment="1">
      <alignment horizontal="right"/>
    </xf>
    <xf numFmtId="0" fontId="10" fillId="0" borderId="0" xfId="0" applyFont="1" applyAlignment="1">
      <alignment horizontal="right"/>
    </xf>
    <xf numFmtId="0" fontId="1" fillId="0" borderId="0" xfId="1" applyFont="1" applyFill="1" applyBorder="1" applyAlignment="1">
      <alignment horizontal="right"/>
    </xf>
    <xf numFmtId="0" fontId="10" fillId="0" borderId="0" xfId="0" applyFont="1" applyAlignment="1">
      <alignment horizontal="right" vertical="top" wrapText="1"/>
    </xf>
    <xf numFmtId="0" fontId="0" fillId="0" borderId="0" xfId="0" applyAlignment="1">
      <alignment horizontal="right"/>
    </xf>
    <xf numFmtId="0" fontId="0" fillId="0" borderId="0" xfId="0" applyBorder="1"/>
    <xf numFmtId="0" fontId="0" fillId="0" borderId="2" xfId="0" applyNumberFormat="1" applyFont="1" applyBorder="1"/>
    <xf numFmtId="0" fontId="5" fillId="0" borderId="0" xfId="0" applyNumberFormat="1" applyFont="1" applyBorder="1"/>
    <xf numFmtId="0" fontId="5" fillId="0" borderId="1" xfId="0" applyNumberFormat="1" applyFont="1" applyBorder="1"/>
    <xf numFmtId="0" fontId="0" fillId="0" borderId="12" xfId="0" applyFont="1" applyBorder="1"/>
    <xf numFmtId="0" fontId="0" fillId="4" borderId="12" xfId="0" applyFont="1" applyFill="1" applyBorder="1"/>
    <xf numFmtId="9" fontId="0" fillId="0" borderId="12" xfId="0" applyNumberFormat="1" applyFont="1" applyBorder="1"/>
    <xf numFmtId="9" fontId="0" fillId="5" borderId="12" xfId="0" applyNumberFormat="1" applyFont="1" applyFill="1" applyBorder="1"/>
    <xf numFmtId="0" fontId="5" fillId="0" borderId="0" xfId="0" applyFont="1" applyFill="1"/>
    <xf numFmtId="0" fontId="5" fillId="0" borderId="0" xfId="0" applyFont="1" applyFill="1" applyBorder="1"/>
    <xf numFmtId="0" fontId="5" fillId="0" borderId="0" xfId="0" applyNumberFormat="1" applyFont="1" applyFill="1" applyBorder="1"/>
    <xf numFmtId="9" fontId="5" fillId="0" borderId="0" xfId="0" applyNumberFormat="1" applyFont="1" applyFill="1" applyBorder="1"/>
    <xf numFmtId="1" fontId="5" fillId="0" borderId="0" xfId="0" applyNumberFormat="1" applyFont="1" applyFill="1" applyBorder="1"/>
    <xf numFmtId="0" fontId="19" fillId="0" borderId="1" xfId="0" applyFont="1" applyBorder="1"/>
    <xf numFmtId="0" fontId="0" fillId="2" borderId="13" xfId="0" applyFont="1" applyFill="1" applyBorder="1" applyAlignment="1">
      <alignment horizontal="center" wrapText="1"/>
    </xf>
    <xf numFmtId="0" fontId="0" fillId="2" borderId="14" xfId="0" applyFont="1" applyFill="1" applyBorder="1" applyAlignment="1">
      <alignment horizontal="center" wrapText="1"/>
    </xf>
    <xf numFmtId="0" fontId="18" fillId="0" borderId="15" xfId="0" applyFont="1" applyBorder="1"/>
    <xf numFmtId="0" fontId="18" fillId="0" borderId="16" xfId="0" applyFont="1" applyBorder="1"/>
    <xf numFmtId="0" fontId="0" fillId="0" borderId="17" xfId="0" applyFont="1" applyBorder="1"/>
    <xf numFmtId="0" fontId="0" fillId="0" borderId="18" xfId="0" applyFont="1" applyBorder="1"/>
    <xf numFmtId="0" fontId="0" fillId="0" borderId="15" xfId="0" applyFont="1" applyBorder="1"/>
    <xf numFmtId="9" fontId="0" fillId="0" borderId="16" xfId="0" applyNumberFormat="1" applyFont="1" applyBorder="1"/>
    <xf numFmtId="0" fontId="0" fillId="0" borderId="16" xfId="0" applyFont="1" applyBorder="1"/>
    <xf numFmtId="0" fontId="0" fillId="0" borderId="19" xfId="0" applyFont="1" applyBorder="1"/>
    <xf numFmtId="0" fontId="0" fillId="0" borderId="20" xfId="0" applyFont="1" applyBorder="1"/>
    <xf numFmtId="0" fontId="19" fillId="0" borderId="0" xfId="0" applyFont="1" applyBorder="1"/>
    <xf numFmtId="0" fontId="0" fillId="2" borderId="14" xfId="0" applyFill="1" applyBorder="1" applyAlignment="1">
      <alignment horizontal="center" wrapText="1"/>
    </xf>
    <xf numFmtId="9" fontId="0" fillId="0" borderId="18" xfId="0" applyNumberFormat="1" applyFont="1" applyBorder="1"/>
    <xf numFmtId="9" fontId="0" fillId="0" borderId="15" xfId="0" applyNumberFormat="1" applyFont="1" applyBorder="1"/>
    <xf numFmtId="9" fontId="0" fillId="0" borderId="20" xfId="0" applyNumberFormat="1" applyFont="1" applyBorder="1"/>
    <xf numFmtId="0" fontId="0" fillId="2" borderId="21" xfId="0" applyFont="1" applyFill="1" applyBorder="1" applyAlignment="1">
      <alignment horizontal="center" wrapText="1"/>
    </xf>
    <xf numFmtId="0" fontId="0" fillId="2" borderId="22" xfId="0" applyFont="1" applyFill="1" applyBorder="1" applyAlignment="1">
      <alignment horizontal="center" wrapText="1"/>
    </xf>
    <xf numFmtId="0" fontId="0" fillId="2" borderId="22" xfId="0" applyFill="1" applyBorder="1" applyAlignment="1">
      <alignment horizontal="center" wrapText="1"/>
    </xf>
    <xf numFmtId="0" fontId="0" fillId="0" borderId="23" xfId="0" applyBorder="1"/>
    <xf numFmtId="0" fontId="0" fillId="0" borderId="14" xfId="0" applyBorder="1"/>
    <xf numFmtId="0" fontId="0" fillId="0" borderId="16" xfId="0" applyBorder="1"/>
    <xf numFmtId="0" fontId="0" fillId="0" borderId="24" xfId="0" applyFont="1" applyBorder="1"/>
    <xf numFmtId="9" fontId="0" fillId="0" borderId="24" xfId="0" applyNumberFormat="1" applyFont="1" applyBorder="1"/>
    <xf numFmtId="0" fontId="0" fillId="4" borderId="24" xfId="0" applyFont="1" applyFill="1" applyBorder="1"/>
    <xf numFmtId="9" fontId="0" fillId="5" borderId="25" xfId="0" applyNumberFormat="1" applyFont="1" applyFill="1" applyBorder="1"/>
    <xf numFmtId="9" fontId="0" fillId="0" borderId="26" xfId="0" applyNumberFormat="1" applyFont="1" applyBorder="1"/>
    <xf numFmtId="9" fontId="0" fillId="4" borderId="26" xfId="0" applyNumberFormat="1" applyFont="1" applyFill="1" applyBorder="1"/>
    <xf numFmtId="0" fontId="0" fillId="3" borderId="3" xfId="0" applyFill="1" applyBorder="1" applyAlignment="1">
      <alignment horizontal="center" wrapText="1"/>
    </xf>
    <xf numFmtId="0" fontId="0" fillId="4" borderId="0" xfId="0" applyFill="1" applyBorder="1" applyAlignment="1">
      <alignment wrapText="1"/>
    </xf>
    <xf numFmtId="0" fontId="0" fillId="0" borderId="0" xfId="0" applyFont="1" applyFill="1" applyBorder="1" applyAlignment="1">
      <alignment horizontal="center" wrapText="1"/>
    </xf>
    <xf numFmtId="0" fontId="0" fillId="0" borderId="0" xfId="0" applyFill="1"/>
    <xf numFmtId="0" fontId="0" fillId="2" borderId="0" xfId="0" applyFont="1" applyFill="1" applyBorder="1" applyAlignment="1">
      <alignment horizontal="center" wrapText="1"/>
    </xf>
    <xf numFmtId="0" fontId="0" fillId="2" borderId="6" xfId="0" applyFill="1" applyBorder="1" applyAlignment="1">
      <alignment horizontal="center" wrapText="1"/>
    </xf>
    <xf numFmtId="0" fontId="0" fillId="2" borderId="16" xfId="0" applyFill="1" applyBorder="1" applyAlignment="1">
      <alignment horizontal="center" wrapText="1"/>
    </xf>
    <xf numFmtId="0" fontId="0" fillId="2" borderId="28" xfId="0" applyFill="1" applyBorder="1" applyAlignment="1">
      <alignment horizontal="center" wrapText="1"/>
    </xf>
    <xf numFmtId="0" fontId="0" fillId="2" borderId="27" xfId="0" applyFill="1" applyBorder="1" applyAlignment="1">
      <alignment horizontal="center" wrapText="1"/>
    </xf>
    <xf numFmtId="0" fontId="0" fillId="3" borderId="0" xfId="0" applyFill="1" applyBorder="1"/>
    <xf numFmtId="0" fontId="0" fillId="3" borderId="7" xfId="0" applyFill="1" applyBorder="1"/>
    <xf numFmtId="0" fontId="5" fillId="3" borderId="0" xfId="0" applyFont="1" applyFill="1" applyBorder="1"/>
    <xf numFmtId="0" fontId="5" fillId="3" borderId="7" xfId="0" applyFont="1" applyFill="1" applyBorder="1"/>
    <xf numFmtId="0" fontId="5" fillId="2" borderId="24" xfId="0" applyFont="1" applyFill="1" applyBorder="1" applyAlignment="1">
      <alignment horizontal="center"/>
    </xf>
    <xf numFmtId="0" fontId="5" fillId="2" borderId="12" xfId="0" applyFont="1" applyFill="1" applyBorder="1" applyAlignment="1">
      <alignment horizontal="center"/>
    </xf>
    <xf numFmtId="0" fontId="0" fillId="3" borderId="4" xfId="0" applyFill="1" applyBorder="1" applyAlignment="1">
      <alignment horizontal="center" vertical="center" wrapText="1"/>
    </xf>
    <xf numFmtId="0" fontId="0" fillId="3" borderId="5" xfId="0" applyFill="1" applyBorder="1" applyAlignment="1">
      <alignment horizontal="center" vertical="center" wrapText="1"/>
    </xf>
    <xf numFmtId="0" fontId="0" fillId="3" borderId="3" xfId="0" applyFill="1" applyBorder="1" applyAlignment="1">
      <alignment horizontal="center" wrapText="1"/>
    </xf>
    <xf numFmtId="0" fontId="0" fillId="3" borderId="5" xfId="0" applyFill="1" applyBorder="1" applyAlignment="1">
      <alignment horizontal="center" wrapText="1"/>
    </xf>
    <xf numFmtId="0" fontId="0" fillId="3" borderId="4" xfId="0" applyFill="1" applyBorder="1" applyAlignment="1">
      <alignment horizontal="center" wrapText="1"/>
    </xf>
    <xf numFmtId="0" fontId="0" fillId="3" borderId="2" xfId="0" applyFill="1" applyBorder="1" applyAlignment="1">
      <alignment horizontal="center"/>
    </xf>
    <xf numFmtId="0" fontId="0" fillId="3" borderId="11" xfId="0" applyFill="1" applyBorder="1" applyAlignment="1">
      <alignment horizontal="center"/>
    </xf>
    <xf numFmtId="0" fontId="10" fillId="0" borderId="0" xfId="0" applyFont="1" applyFill="1"/>
    <xf numFmtId="0" fontId="10" fillId="0" borderId="0" xfId="0" applyFont="1" applyFill="1" applyAlignment="1">
      <alignment horizontal="left" vertical="top" wrapText="1"/>
    </xf>
    <xf numFmtId="0" fontId="2" fillId="0" borderId="0" xfId="2" applyFill="1" applyAlignment="1" applyProtection="1">
      <alignment horizontal="left" vertical="top" wrapText="1"/>
    </xf>
    <xf numFmtId="0" fontId="20" fillId="0" borderId="0" xfId="0" applyFont="1" applyFill="1"/>
    <xf numFmtId="0" fontId="2" fillId="0" borderId="0" xfId="2" applyFill="1" applyAlignment="1" applyProtection="1"/>
    <xf numFmtId="0" fontId="10" fillId="0" borderId="0" xfId="0" applyFont="1" applyFill="1" applyAlignment="1">
      <alignment horizontal="right"/>
    </xf>
    <xf numFmtId="0" fontId="7" fillId="0" borderId="0" xfId="0" applyFont="1" applyFill="1" applyAlignment="1">
      <alignment wrapText="1"/>
    </xf>
    <xf numFmtId="0" fontId="10" fillId="0" borderId="0" xfId="0" applyFont="1" applyFill="1" applyAlignment="1">
      <alignment vertical="top"/>
    </xf>
  </cellXfs>
  <cellStyles count="10">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Hyperlink" xfId="2" builtinId="8"/>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nsd.uib.no/macrodataguide/set.html?id=1&amp;sub=1" TargetMode="External"/><Relationship Id="rId13" Type="http://schemas.openxmlformats.org/officeDocument/2006/relationships/hyperlink" Target="http://ciri.binghamton.edu/faq.asp" TargetMode="External"/><Relationship Id="rId18" Type="http://schemas.openxmlformats.org/officeDocument/2006/relationships/hyperlink" Target="http://www.cepii.fr/anglaisgraph/bdd/institutions.htm" TargetMode="External"/><Relationship Id="rId26" Type="http://schemas.openxmlformats.org/officeDocument/2006/relationships/hyperlink" Target="http://arab-reform.net/spip.php?rubrique4" TargetMode="External"/><Relationship Id="rId3" Type="http://schemas.openxmlformats.org/officeDocument/2006/relationships/hyperlink" Target="http://crinisproject.org/" TargetMode="External"/><Relationship Id="rId21" Type="http://schemas.openxmlformats.org/officeDocument/2006/relationships/hyperlink" Target="http://www.fundforpeace.org/web/index.php?option=com_content&amp;task=view&amp;id=99&amp;Itemid=140" TargetMode="External"/><Relationship Id="rId34" Type="http://schemas.openxmlformats.org/officeDocument/2006/relationships/hyperlink" Target="http://www.freedomhouse.org/template.cfm?page=17" TargetMode="External"/><Relationship Id="rId7" Type="http://schemas.openxmlformats.org/officeDocument/2006/relationships/hyperlink" Target="http://www.correlatesofwar.org/" TargetMode="External"/><Relationship Id="rId12" Type="http://schemas.openxmlformats.org/officeDocument/2006/relationships/hyperlink" Target="http://www.worldpeacefoundation.org/africangovernance.html" TargetMode="External"/><Relationship Id="rId17" Type="http://schemas.openxmlformats.org/officeDocument/2006/relationships/hyperlink" Target="http://www.prio.no/CSCW/Datasets/Governance/Vanhanens-index-of-democracy/" TargetMode="External"/><Relationship Id="rId25" Type="http://schemas.openxmlformats.org/officeDocument/2006/relationships/hyperlink" Target="http://www.eiu.com/index.asp?rf=0" TargetMode="External"/><Relationship Id="rId33" Type="http://schemas.openxmlformats.org/officeDocument/2006/relationships/hyperlink" Target="http://www.freedomhouse.org/template.cfm?page=444" TargetMode="External"/><Relationship Id="rId2" Type="http://schemas.openxmlformats.org/officeDocument/2006/relationships/hyperlink" Target="http://escolapau.uab.cat/index.php?option=com_content&amp;view=article&amp;id=77&amp;Itemid=97&amp;lang=en" TargetMode="External"/><Relationship Id="rId16" Type="http://schemas.openxmlformats.org/officeDocument/2006/relationships/hyperlink" Target="http://www.worldaudit.org/home.htm" TargetMode="External"/><Relationship Id="rId20" Type="http://schemas.openxmlformats.org/officeDocument/2006/relationships/hyperlink" Target="http://www.transparency.org/policy_research/surveys_indices/gcb" TargetMode="External"/><Relationship Id="rId29" Type="http://schemas.openxmlformats.org/officeDocument/2006/relationships/hyperlink" Target="http://arabbarometer.org/" TargetMode="External"/><Relationship Id="rId1" Type="http://schemas.openxmlformats.org/officeDocument/2006/relationships/hyperlink" Target="http://hdr.undp.org/en/" TargetMode="External"/><Relationship Id="rId6" Type="http://schemas.openxmlformats.org/officeDocument/2006/relationships/hyperlink" Target="http://homepages.nyu.edu/~mrg217/elections.html" TargetMode="External"/><Relationship Id="rId11" Type="http://schemas.openxmlformats.org/officeDocument/2006/relationships/hyperlink" Target="http://www.worldjusticeproject.org/rule-of-law-index/" TargetMode="External"/><Relationship Id="rId24" Type="http://schemas.openxmlformats.org/officeDocument/2006/relationships/hyperlink" Target="http://www.uneca.org/agr/" TargetMode="External"/><Relationship Id="rId32" Type="http://schemas.openxmlformats.org/officeDocument/2006/relationships/hyperlink" Target="http://weber.ucsd.edu/~jrauch/webstate/" TargetMode="External"/><Relationship Id="rId5" Type="http://schemas.openxmlformats.org/officeDocument/2006/relationships/hyperlink" Target="http://www.iadb.org/res/excel/sgps_data.zip" TargetMode="External"/><Relationship Id="rId15" Type="http://schemas.openxmlformats.org/officeDocument/2006/relationships/hyperlink" Target="http://www.carleton.ca/cifp/gdp.htm" TargetMode="External"/><Relationship Id="rId23" Type="http://schemas.openxmlformats.org/officeDocument/2006/relationships/hyperlink" Target="http://go.worldbank.org/K7WYOCA8T0" TargetMode="External"/><Relationship Id="rId28" Type="http://schemas.openxmlformats.org/officeDocument/2006/relationships/hyperlink" Target="http://www.civicus.org/csi" TargetMode="External"/><Relationship Id="rId36" Type="http://schemas.openxmlformats.org/officeDocument/2006/relationships/hyperlink" Target="http://www.visionofhumanity.org/gpi/home.php" TargetMode="External"/><Relationship Id="rId10" Type="http://schemas.openxmlformats.org/officeDocument/2006/relationships/hyperlink" Target="http://www.ipw.unibe.ch/content/team/klaus_armingeon/comparative_political_data_sets/index_ger.html" TargetMode="External"/><Relationship Id="rId19" Type="http://schemas.openxmlformats.org/officeDocument/2006/relationships/hyperlink" Target="http://lgi.osi.hu/documents.php?id=15" TargetMode="External"/><Relationship Id="rId31" Type="http://schemas.openxmlformats.org/officeDocument/2006/relationships/hyperlink" Target="http://www.politicalterrorscale.org/" TargetMode="External"/><Relationship Id="rId4" Type="http://schemas.openxmlformats.org/officeDocument/2006/relationships/hyperlink" Target="http://www-management.wharton.upenn.edu/henisz/" TargetMode="External"/><Relationship Id="rId9" Type="http://schemas.openxmlformats.org/officeDocument/2006/relationships/hyperlink" Target="http://www.unu.edu/hq/academic/Pg_area4/b-structure.html" TargetMode="External"/><Relationship Id="rId14" Type="http://schemas.openxmlformats.org/officeDocument/2006/relationships/hyperlink" Target="http://www.afrobarometer.org/origins.html" TargetMode="External"/><Relationship Id="rId22" Type="http://schemas.openxmlformats.org/officeDocument/2006/relationships/hyperlink" Target="http://www.cato.org/pubs/efw/" TargetMode="External"/><Relationship Id="rId27" Type="http://schemas.openxmlformats.org/officeDocument/2006/relationships/hyperlink" Target="http://www.moibrahimfoundation.org/en/section/the-ibrahim-index" TargetMode="External"/><Relationship Id="rId30" Type="http://schemas.openxmlformats.org/officeDocument/2006/relationships/hyperlink" Target="http://www.latinobarometro.org/" TargetMode="External"/><Relationship Id="rId35" Type="http://schemas.openxmlformats.org/officeDocument/2006/relationships/hyperlink" Target="http://www.freedomhouse.org/template.cfm?page=139&amp;edition=9"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www.freedomhouse.org/template.cfm?page=15" TargetMode="External"/><Relationship Id="rId18" Type="http://schemas.openxmlformats.org/officeDocument/2006/relationships/hyperlink" Target="http://www.management.wharton.upenn.edu/henisz/" TargetMode="External"/><Relationship Id="rId26" Type="http://schemas.openxmlformats.org/officeDocument/2006/relationships/hyperlink" Target="http://transparency.org/policy_research/surveys_indices/bpi" TargetMode="External"/><Relationship Id="rId39" Type="http://schemas.openxmlformats.org/officeDocument/2006/relationships/hyperlink" Target="http://freedomhouse.org/template.cfm?page=16&amp;year=0" TargetMode="External"/><Relationship Id="rId3" Type="http://schemas.openxmlformats.org/officeDocument/2006/relationships/hyperlink" Target="http://www.bertelsmann-transformation-index.de/en/" TargetMode="External"/><Relationship Id="rId21" Type="http://schemas.openxmlformats.org/officeDocument/2006/relationships/hyperlink" Target="http://www.irex.org/project/media-sustainability-index-msi" TargetMode="External"/><Relationship Id="rId34" Type="http://schemas.openxmlformats.org/officeDocument/2006/relationships/hyperlink" Target="http://www.carleton.ca/cifp/gdp.htm" TargetMode="External"/><Relationship Id="rId42" Type="http://schemas.openxmlformats.org/officeDocument/2006/relationships/hyperlink" Target="http://www.worldaudit.org/home.htm" TargetMode="External"/><Relationship Id="rId47" Type="http://schemas.openxmlformats.org/officeDocument/2006/relationships/hyperlink" Target="https://www.agidata.org/site/" TargetMode="External"/><Relationship Id="rId7" Type="http://schemas.openxmlformats.org/officeDocument/2006/relationships/hyperlink" Target="http://www.visionofhumanity.org/info-center/global-peace-index-2011/" TargetMode="External"/><Relationship Id="rId12" Type="http://schemas.openxmlformats.org/officeDocument/2006/relationships/hyperlink" Target="http://ec.europa.eu/public_opinion/index_en.htm" TargetMode="External"/><Relationship Id="rId17" Type="http://schemas.openxmlformats.org/officeDocument/2006/relationships/hyperlink" Target="http://www.govindicators.org/" TargetMode="External"/><Relationship Id="rId25" Type="http://schemas.openxmlformats.org/officeDocument/2006/relationships/hyperlink" Target="http://en.rsf.org/press-freedom-index-2010,1034.html" TargetMode="External"/><Relationship Id="rId33" Type="http://schemas.openxmlformats.org/officeDocument/2006/relationships/hyperlink" Target="http://www.transparency.org/policy_research/surveys_indices/gcb/2010" TargetMode="External"/><Relationship Id="rId38" Type="http://schemas.openxmlformats.org/officeDocument/2006/relationships/hyperlink" Target="http://www.latinobarometro.org/" TargetMode="External"/><Relationship Id="rId46" Type="http://schemas.openxmlformats.org/officeDocument/2006/relationships/hyperlink" Target="http://data.worldbank.org/data-catalog/world-development-indicators" TargetMode="External"/><Relationship Id="rId2" Type="http://schemas.openxmlformats.org/officeDocument/2006/relationships/hyperlink" Target="http://www.afrobarometer.org/" TargetMode="External"/><Relationship Id="rId16" Type="http://schemas.openxmlformats.org/officeDocument/2006/relationships/hyperlink" Target="http://report.globalintegrity.org/globalIndex.cfm" TargetMode="External"/><Relationship Id="rId20" Type="http://schemas.openxmlformats.org/officeDocument/2006/relationships/hyperlink" Target="http://www.quotaproject.org/index.cfm" TargetMode="External"/><Relationship Id="rId29" Type="http://schemas.openxmlformats.org/officeDocument/2006/relationships/hyperlink" Target="http://www.arab-reform.net/spip.php?rubrique4" TargetMode="External"/><Relationship Id="rId41" Type="http://schemas.openxmlformats.org/officeDocument/2006/relationships/hyperlink" Target="http://www.freedomhouse.org/template.cfm?page=444" TargetMode="External"/><Relationship Id="rId1" Type="http://schemas.openxmlformats.org/officeDocument/2006/relationships/hyperlink" Target="http://aceproject.org/epic-en" TargetMode="External"/><Relationship Id="rId6" Type="http://schemas.openxmlformats.org/officeDocument/2006/relationships/hyperlink" Target="http://www.ifpri.org/publication/2010-global-hunger-index" TargetMode="External"/><Relationship Id="rId11" Type="http://schemas.openxmlformats.org/officeDocument/2006/relationships/hyperlink" Target="http://www.cpj.org/" TargetMode="External"/><Relationship Id="rId24" Type="http://schemas.openxmlformats.org/officeDocument/2006/relationships/hyperlink" Target="http://www.odi.org.uk/work/projects/00-07-world-governance-assessment/" TargetMode="External"/><Relationship Id="rId32" Type="http://schemas.openxmlformats.org/officeDocument/2006/relationships/hyperlink" Target="http://www.freetheworld.com/" TargetMode="External"/><Relationship Id="rId37" Type="http://schemas.openxmlformats.org/officeDocument/2006/relationships/hyperlink" Target="http://www.cepii.fr/anglaisgraph/bdd/institutions.htm" TargetMode="External"/><Relationship Id="rId40" Type="http://schemas.openxmlformats.org/officeDocument/2006/relationships/hyperlink" Target="http://www.worldjusticeproject.org/rule-of-law-index/" TargetMode="External"/><Relationship Id="rId45" Type="http://schemas.openxmlformats.org/officeDocument/2006/relationships/hyperlink" Target="http://www.eiu.com/index.asp?rf=0" TargetMode="External"/><Relationship Id="rId5" Type="http://schemas.openxmlformats.org/officeDocument/2006/relationships/hyperlink" Target="http://www.happyplanetindex.org/" TargetMode="External"/><Relationship Id="rId15" Type="http://schemas.openxmlformats.org/officeDocument/2006/relationships/hyperlink" Target="http://www.systemicpeace.org/polity/polity4.htm" TargetMode="External"/><Relationship Id="rId23" Type="http://schemas.openxmlformats.org/officeDocument/2006/relationships/hyperlink" Target="http://www.politicalterrorscale.org/" TargetMode="External"/><Relationship Id="rId28" Type="http://schemas.openxmlformats.org/officeDocument/2006/relationships/hyperlink" Target="http://data.worldbank.org/data-catalog/CPIA" TargetMode="External"/><Relationship Id="rId36" Type="http://schemas.openxmlformats.org/officeDocument/2006/relationships/hyperlink" Target="http://escolapau.uab.cat/index.php?option=com_content&amp;view=article&amp;id=77&amp;Itemid=97&amp;lang=en" TargetMode="External"/><Relationship Id="rId49" Type="http://schemas.openxmlformats.org/officeDocument/2006/relationships/printerSettings" Target="../printerSettings/printerSettings1.bin"/><Relationship Id="rId10" Type="http://schemas.openxmlformats.org/officeDocument/2006/relationships/hyperlink" Target="http://ciri.binghamton.edu/index.asp" TargetMode="External"/><Relationship Id="rId19" Type="http://schemas.openxmlformats.org/officeDocument/2006/relationships/hyperlink" Target="http://www.heritage.org/index/" TargetMode="External"/><Relationship Id="rId31" Type="http://schemas.openxmlformats.org/officeDocument/2006/relationships/hyperlink" Target="http://www.freedomhouse.org/template.cfm?page=139&amp;edition=9" TargetMode="External"/><Relationship Id="rId44" Type="http://schemas.openxmlformats.org/officeDocument/2006/relationships/hyperlink" Target="http://www.asianbarometer.org/newenglish/introduction/ProgramOverview.htm" TargetMode="External"/><Relationship Id="rId4" Type="http://schemas.openxmlformats.org/officeDocument/2006/relationships/hyperlink" Target="http://www.oecdbetterlifeindex.org/" TargetMode="External"/><Relationship Id="rId9" Type="http://schemas.openxmlformats.org/officeDocument/2006/relationships/hyperlink" Target="http://www.cgdev.org/section/initiatives/_active/cdi/" TargetMode="External"/><Relationship Id="rId14" Type="http://schemas.openxmlformats.org/officeDocument/2006/relationships/hyperlink" Target="http://freedomhouse.org/template.cfm?page=16&amp;year=0" TargetMode="External"/><Relationship Id="rId22" Type="http://schemas.openxmlformats.org/officeDocument/2006/relationships/hyperlink" Target="http://www.ipu.org/wmn-e/classif.htm" TargetMode="External"/><Relationship Id="rId27" Type="http://schemas.openxmlformats.org/officeDocument/2006/relationships/hyperlink" Target="http://www.transparency.org/policy_research/surveys_indices/cpi/2010" TargetMode="External"/><Relationship Id="rId30" Type="http://schemas.openxmlformats.org/officeDocument/2006/relationships/hyperlink" Target="http://www.civicus.org/" TargetMode="External"/><Relationship Id="rId35" Type="http://schemas.openxmlformats.org/officeDocument/2006/relationships/hyperlink" Target="http://www.moibrahimfoundation.org/en/section/the-ibrahim-index" TargetMode="External"/><Relationship Id="rId43" Type="http://schemas.openxmlformats.org/officeDocument/2006/relationships/hyperlink" Target="http://hdr.undp.org/en/" TargetMode="External"/><Relationship Id="rId48" Type="http://schemas.openxmlformats.org/officeDocument/2006/relationships/hyperlink" Target="http://www.mediamapresource.org/beta/" TargetMode="External"/><Relationship Id="rId8" Type="http://schemas.openxmlformats.org/officeDocument/2006/relationships/hyperlink" Target="http://www.internationalbudget.org/what-we-do/open-budget-surve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workbookViewId="0"/>
  </sheetViews>
  <sheetFormatPr defaultColWidth="8.85546875" defaultRowHeight="15" x14ac:dyDescent="0.25"/>
  <cols>
    <col min="1" max="1" width="29" customWidth="1"/>
    <col min="2" max="2" width="10.85546875" customWidth="1"/>
    <col min="4" max="4" width="8.85546875" style="41"/>
    <col min="6" max="6" width="36.28515625" customWidth="1"/>
  </cols>
  <sheetData>
    <row r="1" spans="1:8" x14ac:dyDescent="0.25">
      <c r="A1" s="56" t="str">
        <f>'source details'!$A$1</f>
        <v>Global Sources for National Data on Development and Human Rights</v>
      </c>
      <c r="B1" s="56"/>
      <c r="C1" s="56"/>
      <c r="D1" s="58"/>
      <c r="E1" s="56"/>
      <c r="F1" s="56"/>
      <c r="G1" s="39"/>
      <c r="H1" s="39"/>
    </row>
    <row r="2" spans="1:8" s="11" customFormat="1" ht="25.5" x14ac:dyDescent="0.2">
      <c r="A2" s="12" t="s">
        <v>117</v>
      </c>
      <c r="B2" s="12" t="s">
        <v>118</v>
      </c>
      <c r="C2" s="12" t="s">
        <v>208</v>
      </c>
      <c r="D2" s="59" t="s">
        <v>119</v>
      </c>
      <c r="E2" s="12" t="s">
        <v>216</v>
      </c>
      <c r="F2" s="13" t="s">
        <v>310</v>
      </c>
    </row>
    <row r="3" spans="1:8" s="7" customFormat="1" ht="25.5" x14ac:dyDescent="0.2">
      <c r="A3" s="19" t="s">
        <v>139</v>
      </c>
      <c r="B3" s="19">
        <v>1997</v>
      </c>
      <c r="C3" s="20" t="s">
        <v>129</v>
      </c>
      <c r="D3" s="60" t="s">
        <v>140</v>
      </c>
      <c r="E3" s="21" t="s">
        <v>131</v>
      </c>
      <c r="F3" s="54">
        <v>1997</v>
      </c>
    </row>
    <row r="4" spans="1:8" x14ac:dyDescent="0.25">
      <c r="A4" s="19" t="s">
        <v>170</v>
      </c>
      <c r="B4" s="19">
        <v>2005</v>
      </c>
      <c r="C4" s="20" t="s">
        <v>129</v>
      </c>
      <c r="D4" s="60" t="s">
        <v>171</v>
      </c>
      <c r="E4" s="21" t="s">
        <v>131</v>
      </c>
      <c r="F4" s="57">
        <v>2007</v>
      </c>
    </row>
    <row r="5" spans="1:8" ht="25.5" x14ac:dyDescent="0.25">
      <c r="A5" s="19" t="s">
        <v>157</v>
      </c>
      <c r="B5" s="19">
        <v>2002</v>
      </c>
      <c r="C5" s="20" t="s">
        <v>298</v>
      </c>
      <c r="D5" s="60" t="s">
        <v>158</v>
      </c>
      <c r="E5" s="21" t="s">
        <v>131</v>
      </c>
      <c r="F5" s="57"/>
    </row>
    <row r="6" spans="1:8" ht="25.5" x14ac:dyDescent="0.25">
      <c r="A6" s="19" t="s">
        <v>197</v>
      </c>
      <c r="B6" s="19">
        <v>1996</v>
      </c>
      <c r="C6" s="20" t="s">
        <v>129</v>
      </c>
      <c r="D6" s="60" t="s">
        <v>198</v>
      </c>
      <c r="E6" s="16" t="s">
        <v>194</v>
      </c>
      <c r="F6" s="57">
        <v>2002</v>
      </c>
    </row>
    <row r="7" spans="1:8" x14ac:dyDescent="0.25">
      <c r="A7" s="19" t="s">
        <v>177</v>
      </c>
      <c r="B7" s="19">
        <v>2006</v>
      </c>
      <c r="C7" s="20" t="s">
        <v>129</v>
      </c>
      <c r="D7" s="60" t="s">
        <v>178</v>
      </c>
      <c r="E7" s="21" t="s">
        <v>131</v>
      </c>
      <c r="F7" s="57">
        <v>2006</v>
      </c>
    </row>
    <row r="8" spans="1:8" x14ac:dyDescent="0.25">
      <c r="A8" s="19" t="s">
        <v>185</v>
      </c>
      <c r="B8" s="19">
        <v>2008</v>
      </c>
      <c r="C8" s="20" t="s">
        <v>129</v>
      </c>
      <c r="D8" s="60" t="s">
        <v>186</v>
      </c>
      <c r="E8" s="21" t="s">
        <v>131</v>
      </c>
      <c r="F8" s="57"/>
    </row>
    <row r="9" spans="1:8" x14ac:dyDescent="0.25">
      <c r="A9" s="19" t="s">
        <v>152</v>
      </c>
      <c r="B9" s="19">
        <v>2000</v>
      </c>
      <c r="C9" s="20"/>
      <c r="D9" s="61"/>
      <c r="E9" s="21" t="s">
        <v>243</v>
      </c>
      <c r="F9" s="57" t="s">
        <v>309</v>
      </c>
    </row>
    <row r="10" spans="1:8" x14ac:dyDescent="0.25">
      <c r="A10" s="19" t="s">
        <v>2</v>
      </c>
      <c r="B10" s="19">
        <v>2003</v>
      </c>
      <c r="C10" s="20"/>
      <c r="D10" s="61"/>
      <c r="E10" s="21"/>
      <c r="F10" s="57"/>
    </row>
    <row r="11" spans="1:8" ht="25.5" x14ac:dyDescent="0.25">
      <c r="A11" s="19" t="s">
        <v>24</v>
      </c>
      <c r="B11" s="19">
        <v>1999</v>
      </c>
      <c r="C11" s="20" t="s">
        <v>143</v>
      </c>
      <c r="D11" s="61"/>
      <c r="E11" s="21"/>
      <c r="F11" s="57"/>
    </row>
    <row r="12" spans="1:8" ht="25.5" x14ac:dyDescent="0.25">
      <c r="A12" s="19" t="s">
        <v>195</v>
      </c>
      <c r="B12" s="19">
        <v>1999</v>
      </c>
      <c r="C12" s="20" t="s">
        <v>129</v>
      </c>
      <c r="D12" s="60" t="s">
        <v>196</v>
      </c>
      <c r="E12" s="16" t="s">
        <v>194</v>
      </c>
      <c r="F12" s="57">
        <v>1995</v>
      </c>
    </row>
    <row r="13" spans="1:8" x14ac:dyDescent="0.25">
      <c r="A13" s="19" t="s">
        <v>150</v>
      </c>
      <c r="B13" s="19">
        <v>2000</v>
      </c>
      <c r="C13" s="20"/>
      <c r="D13" s="60" t="s">
        <v>151</v>
      </c>
      <c r="E13" s="21"/>
      <c r="F13" s="57"/>
    </row>
    <row r="14" spans="1:8" x14ac:dyDescent="0.25">
      <c r="A14" s="9" t="s">
        <v>155</v>
      </c>
      <c r="B14" s="19">
        <v>2001</v>
      </c>
      <c r="C14" s="20" t="s">
        <v>129</v>
      </c>
      <c r="D14" s="60" t="s">
        <v>156</v>
      </c>
      <c r="E14" s="21"/>
      <c r="F14" s="57"/>
    </row>
    <row r="15" spans="1:8" x14ac:dyDescent="0.25">
      <c r="A15" s="19" t="s">
        <v>134</v>
      </c>
      <c r="B15" s="19">
        <v>1995</v>
      </c>
      <c r="C15" s="20"/>
      <c r="D15" s="61"/>
      <c r="E15" s="21"/>
      <c r="F15" s="57"/>
    </row>
    <row r="16" spans="1:8" x14ac:dyDescent="0.25">
      <c r="A16" s="19" t="s">
        <v>192</v>
      </c>
      <c r="B16" s="19">
        <v>2007</v>
      </c>
      <c r="C16" s="20" t="s">
        <v>129</v>
      </c>
      <c r="D16" s="60" t="s">
        <v>193</v>
      </c>
      <c r="E16" s="16" t="s">
        <v>194</v>
      </c>
      <c r="F16" s="57" t="s">
        <v>234</v>
      </c>
    </row>
    <row r="17" spans="1:6" ht="51" x14ac:dyDescent="0.25">
      <c r="A17" s="19" t="s">
        <v>199</v>
      </c>
      <c r="B17" s="19" t="s">
        <v>200</v>
      </c>
      <c r="C17" s="20" t="s">
        <v>129</v>
      </c>
      <c r="D17" s="60" t="s">
        <v>201</v>
      </c>
      <c r="E17" s="16" t="s">
        <v>194</v>
      </c>
      <c r="F17" s="57" t="s">
        <v>212</v>
      </c>
    </row>
    <row r="18" spans="1:6" x14ac:dyDescent="0.25">
      <c r="A18" s="19" t="s">
        <v>25</v>
      </c>
      <c r="B18" s="19">
        <v>1995</v>
      </c>
      <c r="C18" s="20"/>
      <c r="D18" s="61"/>
      <c r="E18" s="21"/>
      <c r="F18" s="57"/>
    </row>
    <row r="19" spans="1:6" x14ac:dyDescent="0.25">
      <c r="A19" s="19" t="s">
        <v>164</v>
      </c>
      <c r="B19" s="19">
        <v>2004</v>
      </c>
      <c r="C19" s="20" t="s">
        <v>129</v>
      </c>
      <c r="D19" s="60" t="s">
        <v>165</v>
      </c>
      <c r="E19" s="21"/>
      <c r="F19" s="57"/>
    </row>
    <row r="20" spans="1:6" x14ac:dyDescent="0.25">
      <c r="A20" s="19" t="s">
        <v>122</v>
      </c>
      <c r="B20" s="19">
        <v>1978</v>
      </c>
      <c r="C20" s="20"/>
      <c r="D20" s="61"/>
      <c r="E20" s="21"/>
      <c r="F20" s="57"/>
    </row>
    <row r="21" spans="1:6" x14ac:dyDescent="0.25">
      <c r="A21" s="19" t="s">
        <v>176</v>
      </c>
      <c r="B21" s="19">
        <v>2006</v>
      </c>
      <c r="C21" s="20" t="s">
        <v>129</v>
      </c>
      <c r="D21" s="60" t="s">
        <v>238</v>
      </c>
      <c r="E21" s="21" t="s">
        <v>131</v>
      </c>
      <c r="F21" s="57" t="s">
        <v>239</v>
      </c>
    </row>
    <row r="22" spans="1:6" x14ac:dyDescent="0.25">
      <c r="A22" s="19" t="s">
        <v>174</v>
      </c>
      <c r="B22" s="19">
        <v>2006</v>
      </c>
      <c r="C22" s="20" t="s">
        <v>129</v>
      </c>
      <c r="D22" s="60" t="s">
        <v>175</v>
      </c>
      <c r="E22" s="21"/>
      <c r="F22" s="57"/>
    </row>
    <row r="23" spans="1:6" ht="25.5" x14ac:dyDescent="0.25">
      <c r="A23" s="19" t="s">
        <v>202</v>
      </c>
      <c r="B23" s="19">
        <v>2000</v>
      </c>
      <c r="C23" s="20" t="s">
        <v>129</v>
      </c>
      <c r="D23" s="60" t="s">
        <v>203</v>
      </c>
      <c r="E23" s="16" t="s">
        <v>194</v>
      </c>
      <c r="F23" s="57">
        <v>2000</v>
      </c>
    </row>
    <row r="24" spans="1:6" x14ac:dyDescent="0.25">
      <c r="A24" s="9" t="s">
        <v>153</v>
      </c>
      <c r="B24" s="19">
        <v>2001</v>
      </c>
      <c r="C24" s="20" t="s">
        <v>129</v>
      </c>
      <c r="D24" s="60" t="s">
        <v>154</v>
      </c>
      <c r="E24" s="21"/>
      <c r="F24" s="57"/>
    </row>
    <row r="25" spans="1:6" x14ac:dyDescent="0.25">
      <c r="A25" s="19" t="s">
        <v>204</v>
      </c>
      <c r="B25" s="19">
        <v>2001</v>
      </c>
      <c r="C25" s="20" t="s">
        <v>129</v>
      </c>
      <c r="D25" s="60" t="s">
        <v>205</v>
      </c>
      <c r="E25" s="16" t="s">
        <v>194</v>
      </c>
      <c r="F25" s="57">
        <v>2001</v>
      </c>
    </row>
    <row r="26" spans="1:6" x14ac:dyDescent="0.25">
      <c r="A26" s="19" t="s">
        <v>168</v>
      </c>
      <c r="B26" s="19">
        <v>2005</v>
      </c>
      <c r="C26" s="20" t="s">
        <v>129</v>
      </c>
      <c r="D26" s="60" t="s">
        <v>169</v>
      </c>
      <c r="E26" s="21" t="s">
        <v>212</v>
      </c>
      <c r="F26" s="57" t="s">
        <v>309</v>
      </c>
    </row>
    <row r="27" spans="1:6" x14ac:dyDescent="0.25">
      <c r="A27" s="19" t="s">
        <v>120</v>
      </c>
      <c r="B27" s="19">
        <v>1973</v>
      </c>
      <c r="C27" s="20"/>
      <c r="D27" s="61"/>
      <c r="E27" s="21"/>
      <c r="F27" s="57"/>
    </row>
    <row r="28" spans="1:6" x14ac:dyDescent="0.25">
      <c r="A28" s="19" t="s">
        <v>163</v>
      </c>
      <c r="B28" s="19">
        <v>2003</v>
      </c>
      <c r="C28" s="20"/>
      <c r="D28" s="61"/>
      <c r="E28" s="21"/>
      <c r="F28" s="57">
        <v>2004</v>
      </c>
    </row>
    <row r="29" spans="1:6" x14ac:dyDescent="0.25">
      <c r="A29" s="19" t="s">
        <v>26</v>
      </c>
      <c r="B29" s="19">
        <v>2003</v>
      </c>
      <c r="C29" s="20"/>
      <c r="D29" s="61"/>
      <c r="E29" s="21"/>
      <c r="F29" s="57" t="s">
        <v>311</v>
      </c>
    </row>
    <row r="30" spans="1:6" x14ac:dyDescent="0.25">
      <c r="A30" s="19" t="s">
        <v>162</v>
      </c>
      <c r="B30" s="19">
        <v>2003</v>
      </c>
      <c r="C30" s="20"/>
      <c r="D30" s="61"/>
      <c r="E30" s="21"/>
      <c r="F30" s="57"/>
    </row>
    <row r="31" spans="1:6" x14ac:dyDescent="0.25">
      <c r="A31" s="19" t="s">
        <v>28</v>
      </c>
      <c r="B31" s="19">
        <v>1979</v>
      </c>
      <c r="C31" s="20"/>
      <c r="D31" s="61" t="s">
        <v>299</v>
      </c>
      <c r="E31" s="21" t="s">
        <v>243</v>
      </c>
      <c r="F31" s="57" t="s">
        <v>309</v>
      </c>
    </row>
    <row r="32" spans="1:6" x14ac:dyDescent="0.25">
      <c r="A32" s="9" t="s">
        <v>160</v>
      </c>
      <c r="B32" s="19">
        <v>2003</v>
      </c>
      <c r="C32" s="20" t="s">
        <v>129</v>
      </c>
      <c r="D32" s="60" t="s">
        <v>161</v>
      </c>
      <c r="E32" s="21"/>
      <c r="F32" s="57"/>
    </row>
    <row r="33" spans="1:6" x14ac:dyDescent="0.25">
      <c r="A33" s="19" t="s">
        <v>44</v>
      </c>
      <c r="B33" s="19">
        <v>2007</v>
      </c>
      <c r="C33" s="20" t="s">
        <v>129</v>
      </c>
      <c r="D33" s="60" t="s">
        <v>184</v>
      </c>
      <c r="E33" s="21"/>
      <c r="F33" s="57"/>
    </row>
    <row r="34" spans="1:6" ht="25.5" x14ac:dyDescent="0.25">
      <c r="A34" s="19" t="s">
        <v>182</v>
      </c>
      <c r="B34" s="19">
        <v>2007</v>
      </c>
      <c r="C34" s="20" t="s">
        <v>129</v>
      </c>
      <c r="D34" s="60" t="s">
        <v>183</v>
      </c>
      <c r="E34" s="21"/>
      <c r="F34" s="57"/>
    </row>
    <row r="35" spans="1:6" ht="25.5" x14ac:dyDescent="0.25">
      <c r="A35" s="19" t="s">
        <v>135</v>
      </c>
      <c r="B35" s="19">
        <v>1996</v>
      </c>
      <c r="C35" s="20" t="s">
        <v>298</v>
      </c>
      <c r="D35" s="61"/>
      <c r="E35" s="21"/>
      <c r="F35" s="57"/>
    </row>
    <row r="36" spans="1:6" x14ac:dyDescent="0.25">
      <c r="A36" s="19" t="s">
        <v>314</v>
      </c>
      <c r="B36" s="19">
        <v>1990</v>
      </c>
      <c r="C36" s="20"/>
      <c r="D36" s="60" t="s">
        <v>312</v>
      </c>
      <c r="E36" s="21" t="s">
        <v>313</v>
      </c>
      <c r="F36" s="57"/>
    </row>
    <row r="37" spans="1:6" x14ac:dyDescent="0.25">
      <c r="A37" s="19" t="s">
        <v>149</v>
      </c>
      <c r="B37" s="19">
        <v>2000</v>
      </c>
      <c r="C37" s="20"/>
      <c r="D37" s="61"/>
      <c r="E37" s="21"/>
      <c r="F37" s="57">
        <v>2006</v>
      </c>
    </row>
    <row r="38" spans="1:6" x14ac:dyDescent="0.25">
      <c r="A38" s="19" t="s">
        <v>180</v>
      </c>
      <c r="B38" s="19">
        <v>2007</v>
      </c>
      <c r="C38" s="20" t="s">
        <v>129</v>
      </c>
      <c r="D38" s="60" t="s">
        <v>181</v>
      </c>
      <c r="E38" s="21" t="s">
        <v>131</v>
      </c>
      <c r="F38" s="57"/>
    </row>
    <row r="39" spans="1:6" x14ac:dyDescent="0.25">
      <c r="A39" s="9" t="s">
        <v>187</v>
      </c>
      <c r="B39" s="9">
        <v>2009</v>
      </c>
      <c r="C39" s="20" t="s">
        <v>129</v>
      </c>
      <c r="D39" s="62" t="s">
        <v>188</v>
      </c>
      <c r="E39" s="10" t="s">
        <v>131</v>
      </c>
      <c r="F39" s="57">
        <v>2007</v>
      </c>
    </row>
    <row r="40" spans="1:6" x14ac:dyDescent="0.25">
      <c r="A40" s="19" t="s">
        <v>148</v>
      </c>
      <c r="B40" s="19">
        <v>2000</v>
      </c>
      <c r="C40" s="20"/>
      <c r="D40" s="61"/>
      <c r="E40" s="21"/>
      <c r="F40" s="57"/>
    </row>
    <row r="41" spans="1:6" x14ac:dyDescent="0.25">
      <c r="A41" s="19" t="s">
        <v>15</v>
      </c>
      <c r="B41" s="19">
        <v>1994</v>
      </c>
      <c r="C41" s="20"/>
      <c r="D41" s="61"/>
      <c r="E41" s="21"/>
      <c r="F41" s="57"/>
    </row>
    <row r="42" spans="1:6" x14ac:dyDescent="0.25">
      <c r="A42" s="19" t="s">
        <v>191</v>
      </c>
      <c r="B42" s="19">
        <v>2009</v>
      </c>
      <c r="C42" s="20" t="s">
        <v>129</v>
      </c>
      <c r="D42" s="60" t="s">
        <v>254</v>
      </c>
      <c r="E42" s="21"/>
      <c r="F42" s="57"/>
    </row>
    <row r="43" spans="1:6" ht="25.5" x14ac:dyDescent="0.25">
      <c r="A43" s="9" t="s">
        <v>146</v>
      </c>
      <c r="B43" s="19">
        <v>2000</v>
      </c>
      <c r="C43" s="20" t="s">
        <v>129</v>
      </c>
      <c r="D43" s="60" t="s">
        <v>147</v>
      </c>
      <c r="E43" s="21"/>
      <c r="F43" s="57" t="s">
        <v>257</v>
      </c>
    </row>
    <row r="44" spans="1:6" x14ac:dyDescent="0.25">
      <c r="A44" s="19" t="s">
        <v>172</v>
      </c>
      <c r="B44" s="19">
        <v>2006</v>
      </c>
      <c r="C44" s="20" t="s">
        <v>129</v>
      </c>
      <c r="D44" s="60" t="s">
        <v>173</v>
      </c>
      <c r="E44" s="21"/>
      <c r="F44" s="57"/>
    </row>
    <row r="45" spans="1:6" x14ac:dyDescent="0.25">
      <c r="A45" s="19" t="s">
        <v>159</v>
      </c>
      <c r="B45" s="19">
        <v>2003</v>
      </c>
      <c r="C45" s="20"/>
      <c r="D45" s="61"/>
      <c r="E45" s="21"/>
      <c r="F45" s="57"/>
    </row>
    <row r="46" spans="1:6" x14ac:dyDescent="0.25">
      <c r="A46" s="19" t="s">
        <v>125</v>
      </c>
      <c r="B46" s="19">
        <v>1984</v>
      </c>
      <c r="C46" s="20"/>
      <c r="D46" s="61"/>
      <c r="E46" s="21"/>
      <c r="F46" s="57"/>
    </row>
    <row r="47" spans="1:6" x14ac:dyDescent="0.25">
      <c r="A47" s="19" t="s">
        <v>127</v>
      </c>
      <c r="B47" s="19">
        <v>1992</v>
      </c>
      <c r="C47" s="20"/>
      <c r="D47" s="61"/>
      <c r="E47" s="21"/>
      <c r="F47" s="57"/>
    </row>
    <row r="48" spans="1:6" x14ac:dyDescent="0.25">
      <c r="A48" s="19" t="s">
        <v>132</v>
      </c>
      <c r="B48" s="19">
        <v>1995</v>
      </c>
      <c r="C48" s="20" t="s">
        <v>129</v>
      </c>
      <c r="D48" s="60" t="s">
        <v>133</v>
      </c>
      <c r="E48" s="21" t="s">
        <v>131</v>
      </c>
      <c r="F48" s="57"/>
    </row>
    <row r="49" spans="1:6" x14ac:dyDescent="0.25">
      <c r="A49" s="19" t="s">
        <v>128</v>
      </c>
      <c r="B49" s="19">
        <v>1995</v>
      </c>
      <c r="C49" s="20" t="s">
        <v>129</v>
      </c>
      <c r="D49" s="60" t="s">
        <v>130</v>
      </c>
      <c r="E49" s="21" t="s">
        <v>131</v>
      </c>
      <c r="F49" s="57"/>
    </row>
    <row r="50" spans="1:6" x14ac:dyDescent="0.25">
      <c r="A50" s="19" t="s">
        <v>19</v>
      </c>
      <c r="B50" s="19">
        <v>2001</v>
      </c>
      <c r="C50" s="20"/>
      <c r="D50" s="61"/>
      <c r="E50" s="21" t="s">
        <v>243</v>
      </c>
      <c r="F50" s="57" t="s">
        <v>309</v>
      </c>
    </row>
    <row r="51" spans="1:6" x14ac:dyDescent="0.25">
      <c r="A51" s="19" t="s">
        <v>179</v>
      </c>
      <c r="B51" s="19">
        <v>2007</v>
      </c>
      <c r="C51" s="20"/>
      <c r="D51" s="61"/>
      <c r="E51" s="21"/>
      <c r="F51" s="57"/>
    </row>
    <row r="52" spans="1:6" x14ac:dyDescent="0.25">
      <c r="A52" s="19" t="s">
        <v>206</v>
      </c>
      <c r="B52" s="16"/>
      <c r="C52" s="16"/>
      <c r="D52" s="63" t="s">
        <v>207</v>
      </c>
      <c r="E52" s="16" t="s">
        <v>194</v>
      </c>
      <c r="F52" s="57"/>
    </row>
    <row r="53" spans="1:6" ht="25.5" x14ac:dyDescent="0.25">
      <c r="A53" s="19" t="s">
        <v>20</v>
      </c>
      <c r="B53" s="19">
        <v>1980</v>
      </c>
      <c r="C53" s="20" t="s">
        <v>123</v>
      </c>
      <c r="D53" s="60" t="s">
        <v>124</v>
      </c>
      <c r="E53" s="21"/>
      <c r="F53" s="57"/>
    </row>
    <row r="54" spans="1:6" x14ac:dyDescent="0.25">
      <c r="A54" s="19" t="s">
        <v>121</v>
      </c>
      <c r="B54" s="19">
        <v>1975</v>
      </c>
      <c r="C54" s="20"/>
      <c r="D54" s="61"/>
      <c r="E54" s="21"/>
      <c r="F54" s="57"/>
    </row>
    <row r="55" spans="1:6" x14ac:dyDescent="0.25">
      <c r="A55" s="19" t="s">
        <v>23</v>
      </c>
      <c r="B55" s="19">
        <v>2002</v>
      </c>
      <c r="C55" s="20"/>
      <c r="D55" s="61"/>
      <c r="E55" s="21"/>
      <c r="F55" s="57"/>
    </row>
    <row r="56" spans="1:6" ht="25.5" x14ac:dyDescent="0.25">
      <c r="A56" s="19" t="s">
        <v>10</v>
      </c>
      <c r="B56" s="19">
        <v>1980</v>
      </c>
      <c r="C56" s="20" t="s">
        <v>123</v>
      </c>
      <c r="D56" s="61"/>
      <c r="E56" s="21"/>
      <c r="F56" s="57"/>
    </row>
    <row r="57" spans="1:6" x14ac:dyDescent="0.25">
      <c r="A57" s="19" t="s">
        <v>189</v>
      </c>
      <c r="B57" s="19">
        <v>2009</v>
      </c>
      <c r="C57" s="20" t="s">
        <v>129</v>
      </c>
      <c r="D57" s="60" t="s">
        <v>190</v>
      </c>
      <c r="E57" s="21"/>
      <c r="F57" s="57"/>
    </row>
    <row r="58" spans="1:6" ht="25.5" x14ac:dyDescent="0.25">
      <c r="A58" s="19" t="s">
        <v>22</v>
      </c>
      <c r="B58" s="19">
        <v>1994</v>
      </c>
      <c r="C58" s="20" t="s">
        <v>123</v>
      </c>
      <c r="D58" s="61"/>
      <c r="E58" s="21"/>
      <c r="F58" s="57"/>
    </row>
    <row r="59" spans="1:6" x14ac:dyDescent="0.25">
      <c r="A59" s="19" t="s">
        <v>144</v>
      </c>
      <c r="B59" s="19">
        <v>2000</v>
      </c>
      <c r="C59" s="20" t="s">
        <v>129</v>
      </c>
      <c r="D59" s="60" t="s">
        <v>145</v>
      </c>
      <c r="E59" s="21"/>
      <c r="F59" s="57">
        <v>2000</v>
      </c>
    </row>
    <row r="60" spans="1:6" ht="25.5" x14ac:dyDescent="0.25">
      <c r="A60" s="19" t="s">
        <v>141</v>
      </c>
      <c r="B60" s="19">
        <v>1999</v>
      </c>
      <c r="C60" s="20" t="s">
        <v>123</v>
      </c>
      <c r="D60" s="60" t="s">
        <v>142</v>
      </c>
      <c r="E60" s="21"/>
      <c r="F60" s="57">
        <v>1996</v>
      </c>
    </row>
    <row r="61" spans="1:6" ht="25.5" x14ac:dyDescent="0.25">
      <c r="A61" s="19" t="s">
        <v>138</v>
      </c>
      <c r="B61" s="19">
        <v>1997</v>
      </c>
      <c r="C61" s="20" t="s">
        <v>123</v>
      </c>
      <c r="D61" s="61"/>
      <c r="E61" s="21"/>
      <c r="F61" s="57"/>
    </row>
    <row r="62" spans="1:6" ht="25.5" x14ac:dyDescent="0.25">
      <c r="A62" s="19" t="s">
        <v>166</v>
      </c>
      <c r="B62" s="19">
        <v>2005</v>
      </c>
      <c r="C62" s="20" t="s">
        <v>129</v>
      </c>
      <c r="D62" s="60" t="s">
        <v>167</v>
      </c>
      <c r="E62" s="21" t="s">
        <v>131</v>
      </c>
      <c r="F62" s="57"/>
    </row>
    <row r="63" spans="1:6" x14ac:dyDescent="0.25">
      <c r="A63" s="19" t="s">
        <v>136</v>
      </c>
      <c r="B63" s="19">
        <v>1997</v>
      </c>
      <c r="C63" s="20" t="s">
        <v>129</v>
      </c>
      <c r="D63" s="60" t="s">
        <v>137</v>
      </c>
      <c r="E63" s="21"/>
      <c r="F63" s="57"/>
    </row>
    <row r="64" spans="1:6" x14ac:dyDescent="0.25">
      <c r="A64" s="19" t="s">
        <v>21</v>
      </c>
      <c r="B64" s="19">
        <v>2004</v>
      </c>
      <c r="C64" s="20"/>
      <c r="D64" s="61"/>
      <c r="E64" s="21"/>
      <c r="F64" s="57"/>
    </row>
    <row r="65" spans="1:6" ht="25.5" x14ac:dyDescent="0.25">
      <c r="A65" s="19" t="s">
        <v>126</v>
      </c>
      <c r="B65" s="19">
        <v>1990</v>
      </c>
      <c r="C65" s="20" t="s">
        <v>123</v>
      </c>
      <c r="D65" s="60"/>
      <c r="E65" s="21" t="s">
        <v>226</v>
      </c>
      <c r="F65" s="57" t="s">
        <v>309</v>
      </c>
    </row>
    <row r="66" spans="1:6" x14ac:dyDescent="0.25">
      <c r="A66" s="5"/>
    </row>
  </sheetData>
  <autoFilter ref="A2:F65"/>
  <sortState ref="A2:E63">
    <sortCondition ref="A2:A63"/>
  </sortState>
  <hyperlinks>
    <hyperlink ref="D36" r:id="rId1"/>
    <hyperlink ref="D42" r:id="rId2"/>
    <hyperlink ref="D21" r:id="rId3"/>
    <hyperlink ref="D52" r:id="rId4"/>
    <hyperlink ref="D25" r:id="rId5"/>
    <hyperlink ref="D23" r:id="rId6"/>
    <hyperlink ref="D17" r:id="rId7"/>
    <hyperlink ref="D6" r:id="rId8"/>
    <hyperlink ref="D12" r:id="rId9"/>
    <hyperlink ref="D16" r:id="rId10"/>
    <hyperlink ref="D57" r:id="rId11"/>
    <hyperlink ref="D39" r:id="rId12"/>
    <hyperlink ref="D13" r:id="rId13"/>
    <hyperlink ref="D5" r:id="rId14"/>
    <hyperlink ref="D34" r:id="rId15"/>
    <hyperlink ref="D63" r:id="rId16"/>
    <hyperlink ref="D59" r:id="rId17"/>
    <hyperlink ref="D44" r:id="rId18"/>
    <hyperlink ref="D43" r:id="rId19"/>
    <hyperlink ref="D32" r:id="rId20"/>
    <hyperlink ref="D26" r:id="rId21"/>
    <hyperlink ref="D24" r:id="rId22"/>
    <hyperlink ref="D3" r:id="rId23"/>
    <hyperlink ref="D4" r:id="rId24"/>
    <hyperlink ref="D22" r:id="rId25"/>
    <hyperlink ref="D8" r:id="rId26"/>
    <hyperlink ref="D38" r:id="rId27"/>
    <hyperlink ref="D14" r:id="rId28"/>
    <hyperlink ref="D7" r:id="rId29"/>
    <hyperlink ref="D48" r:id="rId30"/>
    <hyperlink ref="D53" r:id="rId31"/>
    <hyperlink ref="D60" r:id="rId32"/>
    <hyperlink ref="D62" r:id="rId33"/>
    <hyperlink ref="D49" r:id="rId34"/>
    <hyperlink ref="D19" r:id="rId35"/>
    <hyperlink ref="D33" r:id="rId36"/>
  </hyperlink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6"/>
  <sheetViews>
    <sheetView zoomScale="70" zoomScaleNormal="70" zoomScalePageLayoutView="70" workbookViewId="0">
      <pane xSplit="1" ySplit="2" topLeftCell="D38" activePane="bottomRight" state="frozen"/>
      <selection pane="topRight" activeCell="B1" sqref="B1"/>
      <selection pane="bottomLeft" activeCell="A3" sqref="A3"/>
      <selection pane="bottomRight" activeCell="K59" sqref="K59"/>
    </sheetView>
  </sheetViews>
  <sheetFormatPr defaultColWidth="8.85546875" defaultRowHeight="15" x14ac:dyDescent="0.25"/>
  <cols>
    <col min="1" max="1" width="37.140625" customWidth="1"/>
    <col min="2" max="2" width="12.140625" customWidth="1"/>
    <col min="3" max="3" width="10.140625" customWidth="1"/>
    <col min="4" max="4" width="16.85546875" customWidth="1"/>
    <col min="5" max="6" width="9.42578125" customWidth="1"/>
    <col min="7" max="9" width="9.85546875" customWidth="1"/>
    <col min="10" max="10" width="7.28515625" customWidth="1"/>
    <col min="11" max="11" width="9" customWidth="1"/>
    <col min="12" max="12" width="12" customWidth="1"/>
    <col min="13" max="13" width="10.42578125" customWidth="1"/>
    <col min="14" max="14" width="9.42578125" customWidth="1"/>
    <col min="15" max="15" width="8.85546875" customWidth="1"/>
    <col min="16" max="16" width="10.28515625" customWidth="1"/>
    <col min="17" max="17" width="15" style="86" customWidth="1"/>
    <col min="18" max="18" width="9.140625" customWidth="1"/>
  </cols>
  <sheetData>
    <row r="1" spans="1:21" ht="23.25" x14ac:dyDescent="0.35">
      <c r="A1" s="35" t="s">
        <v>379</v>
      </c>
      <c r="B1" s="36"/>
      <c r="C1" s="36"/>
      <c r="D1" s="36"/>
      <c r="E1" s="36"/>
      <c r="F1" s="36"/>
      <c r="G1" s="36"/>
      <c r="H1" s="36"/>
      <c r="I1" s="36"/>
      <c r="J1" s="36"/>
      <c r="K1" s="36"/>
      <c r="L1" s="36"/>
      <c r="M1" s="36"/>
      <c r="N1" s="36"/>
      <c r="O1" s="36"/>
      <c r="P1" s="36"/>
      <c r="Q1" s="82"/>
      <c r="R1" s="36"/>
      <c r="S1" s="36"/>
      <c r="T1" s="36"/>
    </row>
    <row r="2" spans="1:21" s="4" customFormat="1" ht="57" customHeight="1" x14ac:dyDescent="0.25">
      <c r="A2" s="37" t="s">
        <v>29</v>
      </c>
      <c r="B2" s="37" t="s">
        <v>31</v>
      </c>
      <c r="C2" s="37" t="s">
        <v>270</v>
      </c>
      <c r="D2" s="37" t="s">
        <v>34</v>
      </c>
      <c r="E2" s="37" t="s">
        <v>275</v>
      </c>
      <c r="F2" s="3" t="s">
        <v>308</v>
      </c>
      <c r="G2" s="37" t="s">
        <v>276</v>
      </c>
      <c r="H2" s="37" t="s">
        <v>277</v>
      </c>
      <c r="I2" s="37" t="s">
        <v>278</v>
      </c>
      <c r="J2" s="37" t="s">
        <v>279</v>
      </c>
      <c r="K2" s="37" t="s">
        <v>297</v>
      </c>
      <c r="L2" s="37" t="s">
        <v>296</v>
      </c>
      <c r="M2" s="37" t="s">
        <v>280</v>
      </c>
      <c r="N2" s="37" t="s">
        <v>376</v>
      </c>
      <c r="O2" s="37" t="s">
        <v>76</v>
      </c>
      <c r="P2" s="37" t="s">
        <v>281</v>
      </c>
      <c r="Q2" s="37" t="s">
        <v>30</v>
      </c>
      <c r="R2" s="37" t="s">
        <v>282</v>
      </c>
      <c r="S2" s="37" t="s">
        <v>283</v>
      </c>
      <c r="T2" s="38"/>
    </row>
    <row r="3" spans="1:21" ht="15.6" customHeight="1" x14ac:dyDescent="0.25">
      <c r="A3" s="14" t="s">
        <v>0</v>
      </c>
      <c r="B3" s="22" t="s">
        <v>32</v>
      </c>
      <c r="C3" s="15" t="s">
        <v>33</v>
      </c>
      <c r="D3" s="15" t="s">
        <v>35</v>
      </c>
      <c r="E3" s="15">
        <v>1</v>
      </c>
      <c r="F3" s="15">
        <v>0</v>
      </c>
      <c r="G3" s="15" t="s">
        <v>58</v>
      </c>
      <c r="H3" s="15" t="s">
        <v>58</v>
      </c>
      <c r="I3" s="15">
        <v>1</v>
      </c>
      <c r="J3" s="23">
        <v>1</v>
      </c>
      <c r="K3" s="17">
        <v>2</v>
      </c>
      <c r="L3" s="23">
        <v>3</v>
      </c>
      <c r="M3" s="23">
        <v>0</v>
      </c>
      <c r="N3" s="23">
        <v>1</v>
      </c>
      <c r="O3" s="23">
        <v>1</v>
      </c>
      <c r="P3" s="23">
        <v>1</v>
      </c>
      <c r="Q3" s="83">
        <v>1</v>
      </c>
      <c r="R3" s="23">
        <v>0</v>
      </c>
      <c r="S3" s="23" t="s">
        <v>36</v>
      </c>
      <c r="T3" s="23"/>
      <c r="U3" s="23"/>
    </row>
    <row r="4" spans="1:21" s="132" customFormat="1" ht="15.6" customHeight="1" x14ac:dyDescent="0.25">
      <c r="A4" s="18" t="s">
        <v>352</v>
      </c>
      <c r="B4" s="155" t="s">
        <v>382</v>
      </c>
      <c r="C4" s="17"/>
      <c r="D4" s="17" t="s">
        <v>383</v>
      </c>
      <c r="E4" s="17">
        <v>1</v>
      </c>
      <c r="F4" s="17">
        <v>0</v>
      </c>
      <c r="G4" s="17" t="s">
        <v>63</v>
      </c>
      <c r="H4" s="17" t="s">
        <v>58</v>
      </c>
      <c r="I4" s="17">
        <v>1</v>
      </c>
      <c r="J4" s="151">
        <v>0</v>
      </c>
      <c r="K4" s="17">
        <v>3</v>
      </c>
      <c r="L4" s="151">
        <v>3</v>
      </c>
      <c r="M4" s="151">
        <v>1</v>
      </c>
      <c r="N4" s="151">
        <v>0</v>
      </c>
      <c r="O4" s="151">
        <v>1</v>
      </c>
      <c r="P4" s="151">
        <v>2</v>
      </c>
      <c r="Q4" s="156">
        <v>0</v>
      </c>
      <c r="R4" s="151">
        <v>0</v>
      </c>
      <c r="S4" s="151" t="s">
        <v>355</v>
      </c>
      <c r="T4" s="151"/>
      <c r="U4" s="151"/>
    </row>
    <row r="5" spans="1:21" ht="15.6" customHeight="1" x14ac:dyDescent="0.25">
      <c r="A5" s="14" t="s">
        <v>1</v>
      </c>
      <c r="B5" s="22" t="s">
        <v>37</v>
      </c>
      <c r="C5" s="15" t="s">
        <v>38</v>
      </c>
      <c r="D5" s="14" t="s">
        <v>39</v>
      </c>
      <c r="E5" s="14">
        <v>1</v>
      </c>
      <c r="F5" s="14">
        <v>1</v>
      </c>
      <c r="G5" s="15" t="s">
        <v>58</v>
      </c>
      <c r="H5" s="15" t="s">
        <v>337</v>
      </c>
      <c r="I5" s="15">
        <v>1</v>
      </c>
      <c r="J5" s="23">
        <v>1</v>
      </c>
      <c r="K5" s="17">
        <v>2</v>
      </c>
      <c r="L5" s="23">
        <v>3</v>
      </c>
      <c r="M5" s="23">
        <v>1</v>
      </c>
      <c r="N5" s="23" t="s">
        <v>367</v>
      </c>
      <c r="O5" s="23">
        <v>1</v>
      </c>
      <c r="P5" s="23">
        <v>2</v>
      </c>
      <c r="Q5" s="83">
        <v>0</v>
      </c>
      <c r="R5" s="23">
        <v>0</v>
      </c>
      <c r="S5" s="23"/>
      <c r="T5" s="23"/>
      <c r="U5" s="23"/>
    </row>
    <row r="6" spans="1:21" ht="15.6" customHeight="1" x14ac:dyDescent="0.25">
      <c r="A6" s="14" t="s">
        <v>9</v>
      </c>
      <c r="B6" s="24" t="s">
        <v>94</v>
      </c>
      <c r="C6" s="15" t="s">
        <v>93</v>
      </c>
      <c r="D6" s="14" t="s">
        <v>85</v>
      </c>
      <c r="E6" s="14">
        <v>1</v>
      </c>
      <c r="F6" s="14">
        <v>0</v>
      </c>
      <c r="G6" s="14" t="s">
        <v>63</v>
      </c>
      <c r="H6" s="14" t="s">
        <v>58</v>
      </c>
      <c r="I6" s="14">
        <v>0</v>
      </c>
      <c r="J6" s="18">
        <v>1</v>
      </c>
      <c r="K6" s="18">
        <v>3</v>
      </c>
      <c r="L6" s="25">
        <v>3</v>
      </c>
      <c r="M6" s="18">
        <v>1</v>
      </c>
      <c r="N6" s="18">
        <v>0</v>
      </c>
      <c r="O6" s="18">
        <v>1</v>
      </c>
      <c r="P6" s="18">
        <v>0</v>
      </c>
      <c r="Q6" s="84">
        <v>2</v>
      </c>
      <c r="R6" s="18">
        <v>1</v>
      </c>
      <c r="S6" s="23"/>
      <c r="T6" s="23"/>
      <c r="U6" s="23"/>
    </row>
    <row r="7" spans="1:21" ht="15.6" customHeight="1" x14ac:dyDescent="0.25">
      <c r="A7" s="26" t="s">
        <v>185</v>
      </c>
      <c r="B7" s="27" t="s">
        <v>228</v>
      </c>
      <c r="C7" s="23" t="s">
        <v>229</v>
      </c>
      <c r="D7" s="23" t="s">
        <v>85</v>
      </c>
      <c r="E7" s="23">
        <v>1</v>
      </c>
      <c r="F7" s="23">
        <v>1</v>
      </c>
      <c r="G7" s="23" t="s">
        <v>230</v>
      </c>
      <c r="H7" s="23" t="s">
        <v>227</v>
      </c>
      <c r="I7" s="28">
        <v>1</v>
      </c>
      <c r="J7" s="23">
        <v>1</v>
      </c>
      <c r="K7" s="23">
        <v>3</v>
      </c>
      <c r="L7" s="23">
        <v>3</v>
      </c>
      <c r="M7" s="23">
        <v>1</v>
      </c>
      <c r="N7" s="23">
        <v>1</v>
      </c>
      <c r="O7" s="23">
        <v>0</v>
      </c>
      <c r="P7" s="23">
        <v>0</v>
      </c>
      <c r="Q7" s="83">
        <v>0</v>
      </c>
      <c r="R7" s="23">
        <v>0</v>
      </c>
      <c r="S7" s="23"/>
      <c r="T7" s="23"/>
      <c r="U7" s="23"/>
    </row>
    <row r="8" spans="1:21" ht="15.6" customHeight="1" x14ac:dyDescent="0.25">
      <c r="A8" s="14" t="s">
        <v>2</v>
      </c>
      <c r="B8" s="22" t="s">
        <v>40</v>
      </c>
      <c r="C8" s="15" t="s">
        <v>41</v>
      </c>
      <c r="D8" s="14" t="s">
        <v>42</v>
      </c>
      <c r="E8" s="14">
        <v>1</v>
      </c>
      <c r="F8" s="14">
        <v>0</v>
      </c>
      <c r="G8" s="14" t="s">
        <v>43</v>
      </c>
      <c r="H8" s="14" t="s">
        <v>58</v>
      </c>
      <c r="I8" s="14">
        <v>0</v>
      </c>
      <c r="J8" s="18">
        <v>1</v>
      </c>
      <c r="K8" s="17">
        <v>2</v>
      </c>
      <c r="L8" s="25">
        <v>3</v>
      </c>
      <c r="M8" s="18">
        <v>1</v>
      </c>
      <c r="N8" s="18">
        <v>0</v>
      </c>
      <c r="O8" s="18">
        <v>1</v>
      </c>
      <c r="P8" s="18">
        <v>1</v>
      </c>
      <c r="Q8" s="84">
        <v>0</v>
      </c>
      <c r="R8" s="18">
        <v>0</v>
      </c>
      <c r="S8" s="23"/>
      <c r="T8" s="23"/>
      <c r="U8" s="23"/>
    </row>
    <row r="9" spans="1:21" ht="15.6" customHeight="1" x14ac:dyDescent="0.25">
      <c r="A9" s="14" t="s">
        <v>24</v>
      </c>
      <c r="B9" s="24" t="s">
        <v>218</v>
      </c>
      <c r="C9" s="15" t="s">
        <v>217</v>
      </c>
      <c r="D9" s="14" t="s">
        <v>219</v>
      </c>
      <c r="E9" s="14">
        <v>0</v>
      </c>
      <c r="F9" s="14">
        <v>1</v>
      </c>
      <c r="G9" s="14" t="s">
        <v>58</v>
      </c>
      <c r="H9" s="14" t="s">
        <v>58</v>
      </c>
      <c r="I9" s="14">
        <v>1</v>
      </c>
      <c r="J9" s="18">
        <v>1</v>
      </c>
      <c r="K9" s="18">
        <v>2</v>
      </c>
      <c r="L9" s="18">
        <v>2</v>
      </c>
      <c r="M9" s="18">
        <v>0</v>
      </c>
      <c r="N9" s="18">
        <v>0</v>
      </c>
      <c r="O9" s="18">
        <v>0</v>
      </c>
      <c r="P9" s="18">
        <v>0</v>
      </c>
      <c r="Q9" s="18">
        <v>0</v>
      </c>
      <c r="R9" s="18">
        <v>0</v>
      </c>
      <c r="S9" s="23"/>
      <c r="T9" s="23"/>
      <c r="U9" s="23"/>
    </row>
    <row r="10" spans="1:21" ht="15.6" customHeight="1" x14ac:dyDescent="0.25">
      <c r="A10" s="9" t="s">
        <v>155</v>
      </c>
      <c r="B10" s="8" t="s">
        <v>333</v>
      </c>
      <c r="C10" s="29" t="s">
        <v>231</v>
      </c>
      <c r="D10" s="23" t="s">
        <v>232</v>
      </c>
      <c r="E10" s="30">
        <v>0</v>
      </c>
      <c r="F10" s="30">
        <v>0</v>
      </c>
      <c r="G10" s="23" t="s">
        <v>233</v>
      </c>
      <c r="H10" s="23" t="s">
        <v>58</v>
      </c>
      <c r="I10" s="28">
        <v>0</v>
      </c>
      <c r="J10" s="23">
        <v>0</v>
      </c>
      <c r="K10" s="23">
        <v>2</v>
      </c>
      <c r="L10" s="23">
        <v>3</v>
      </c>
      <c r="M10" s="23">
        <v>1</v>
      </c>
      <c r="N10" s="23">
        <v>1</v>
      </c>
      <c r="O10" s="23">
        <v>0</v>
      </c>
      <c r="P10" s="23">
        <v>0</v>
      </c>
      <c r="Q10" s="23">
        <v>0</v>
      </c>
      <c r="R10" s="23">
        <v>0</v>
      </c>
      <c r="S10" s="23"/>
      <c r="T10" s="23"/>
      <c r="U10" s="23"/>
    </row>
    <row r="11" spans="1:21" ht="15.6" customHeight="1" x14ac:dyDescent="0.25">
      <c r="A11" s="14" t="s">
        <v>3</v>
      </c>
      <c r="B11" s="24" t="s">
        <v>69</v>
      </c>
      <c r="C11" s="15" t="s">
        <v>70</v>
      </c>
      <c r="D11" s="14" t="s">
        <v>62</v>
      </c>
      <c r="E11" s="14">
        <v>0</v>
      </c>
      <c r="F11" s="14">
        <v>0</v>
      </c>
      <c r="G11" s="14" t="s">
        <v>63</v>
      </c>
      <c r="H11" s="14" t="s">
        <v>71</v>
      </c>
      <c r="I11" s="14">
        <v>0</v>
      </c>
      <c r="J11" s="18">
        <v>1</v>
      </c>
      <c r="K11" s="17">
        <v>2</v>
      </c>
      <c r="L11" s="25">
        <v>1</v>
      </c>
      <c r="M11" s="18">
        <v>1</v>
      </c>
      <c r="N11" s="18">
        <v>0</v>
      </c>
      <c r="O11" s="18">
        <v>1</v>
      </c>
      <c r="P11" s="18">
        <v>1</v>
      </c>
      <c r="Q11" s="18">
        <v>2</v>
      </c>
      <c r="R11" s="18">
        <v>1</v>
      </c>
      <c r="S11" s="18" t="s">
        <v>72</v>
      </c>
      <c r="T11" s="23"/>
      <c r="U11" s="23"/>
    </row>
    <row r="12" spans="1:21" ht="15.6" customHeight="1" x14ac:dyDescent="0.25">
      <c r="A12" s="14" t="s">
        <v>25</v>
      </c>
      <c r="B12" s="24" t="s">
        <v>221</v>
      </c>
      <c r="C12" s="31" t="s">
        <v>220</v>
      </c>
      <c r="D12" s="14" t="s">
        <v>219</v>
      </c>
      <c r="E12" s="14">
        <v>0</v>
      </c>
      <c r="F12" s="14">
        <v>1</v>
      </c>
      <c r="G12" s="14" t="s">
        <v>58</v>
      </c>
      <c r="H12" s="14" t="s">
        <v>58</v>
      </c>
      <c r="I12" s="14">
        <v>1</v>
      </c>
      <c r="J12" s="18">
        <v>1</v>
      </c>
      <c r="K12" s="18">
        <v>2</v>
      </c>
      <c r="L12" s="18">
        <v>2</v>
      </c>
      <c r="M12" s="18">
        <v>0</v>
      </c>
      <c r="N12" s="18">
        <v>3</v>
      </c>
      <c r="O12" s="18">
        <v>0</v>
      </c>
      <c r="P12" s="18">
        <v>1</v>
      </c>
      <c r="Q12" s="18">
        <v>2</v>
      </c>
      <c r="R12" s="18">
        <v>4</v>
      </c>
      <c r="S12" s="18" t="s">
        <v>222</v>
      </c>
      <c r="T12" s="23"/>
      <c r="U12" s="23"/>
    </row>
    <row r="13" spans="1:21" ht="15.6" customHeight="1" x14ac:dyDescent="0.25">
      <c r="A13" s="26" t="s">
        <v>164</v>
      </c>
      <c r="B13" s="27" t="s">
        <v>165</v>
      </c>
      <c r="C13" s="29" t="s">
        <v>235</v>
      </c>
      <c r="D13" s="29" t="s">
        <v>236</v>
      </c>
      <c r="E13" s="30">
        <v>1</v>
      </c>
      <c r="F13" s="30">
        <v>0</v>
      </c>
      <c r="G13" s="23" t="s">
        <v>63</v>
      </c>
      <c r="H13" s="23" t="s">
        <v>237</v>
      </c>
      <c r="I13" s="28">
        <v>0</v>
      </c>
      <c r="J13" s="23">
        <v>0</v>
      </c>
      <c r="K13" s="23">
        <v>2</v>
      </c>
      <c r="L13" s="23">
        <v>2</v>
      </c>
      <c r="M13" s="23">
        <v>1</v>
      </c>
      <c r="N13" s="23">
        <v>3</v>
      </c>
      <c r="O13" s="23">
        <v>0</v>
      </c>
      <c r="P13" s="23">
        <v>0</v>
      </c>
      <c r="Q13" s="85">
        <v>1</v>
      </c>
      <c r="R13" s="85">
        <v>1</v>
      </c>
      <c r="S13" s="29"/>
      <c r="T13" s="27"/>
      <c r="U13" s="30"/>
    </row>
    <row r="14" spans="1:21" ht="15.6" customHeight="1" x14ac:dyDescent="0.25">
      <c r="A14" s="14" t="s">
        <v>27</v>
      </c>
      <c r="B14" s="24" t="s">
        <v>223</v>
      </c>
      <c r="C14" s="15" t="s">
        <v>224</v>
      </c>
      <c r="D14" s="14" t="s">
        <v>104</v>
      </c>
      <c r="E14" s="14">
        <v>0</v>
      </c>
      <c r="F14" s="14">
        <v>0</v>
      </c>
      <c r="G14" s="14" t="s">
        <v>58</v>
      </c>
      <c r="H14" s="14" t="s">
        <v>58</v>
      </c>
      <c r="I14" s="14">
        <v>1</v>
      </c>
      <c r="J14" s="18">
        <v>0</v>
      </c>
      <c r="K14" s="18">
        <v>3</v>
      </c>
      <c r="L14" s="18">
        <v>2</v>
      </c>
      <c r="M14" s="18">
        <v>1</v>
      </c>
      <c r="N14" s="18">
        <v>0</v>
      </c>
      <c r="O14" s="18">
        <v>1</v>
      </c>
      <c r="P14" s="18">
        <v>0</v>
      </c>
      <c r="Q14" s="18">
        <v>0</v>
      </c>
      <c r="R14" s="18">
        <v>0</v>
      </c>
      <c r="S14" s="18" t="s">
        <v>225</v>
      </c>
      <c r="T14" s="23"/>
      <c r="U14" s="23"/>
    </row>
    <row r="15" spans="1:21" ht="15.6" customHeight="1" x14ac:dyDescent="0.25">
      <c r="A15" s="14" t="s">
        <v>5</v>
      </c>
      <c r="B15" s="24" t="s">
        <v>78</v>
      </c>
      <c r="C15" s="15" t="s">
        <v>77</v>
      </c>
      <c r="D15" s="14" t="s">
        <v>79</v>
      </c>
      <c r="E15" s="14">
        <v>1</v>
      </c>
      <c r="F15" s="14">
        <v>0</v>
      </c>
      <c r="G15" s="14" t="s">
        <v>63</v>
      </c>
      <c r="H15" s="14" t="s">
        <v>58</v>
      </c>
      <c r="I15" s="14">
        <v>0</v>
      </c>
      <c r="J15" s="18">
        <v>1</v>
      </c>
      <c r="K15" s="18">
        <v>3</v>
      </c>
      <c r="L15" s="25">
        <v>3</v>
      </c>
      <c r="M15" s="18">
        <v>1</v>
      </c>
      <c r="N15" s="18">
        <v>0</v>
      </c>
      <c r="O15" s="18">
        <v>2</v>
      </c>
      <c r="P15" s="18">
        <v>0</v>
      </c>
      <c r="Q15" s="84">
        <v>0</v>
      </c>
      <c r="R15" s="18">
        <v>0</v>
      </c>
      <c r="S15" s="23"/>
      <c r="T15" s="23"/>
      <c r="U15" s="23"/>
    </row>
    <row r="16" spans="1:21" ht="15.6" customHeight="1" x14ac:dyDescent="0.25">
      <c r="A16" s="26" t="s">
        <v>174</v>
      </c>
      <c r="B16" s="27" t="s">
        <v>175</v>
      </c>
      <c r="C16" s="29" t="s">
        <v>241</v>
      </c>
      <c r="D16" s="29" t="s">
        <v>242</v>
      </c>
      <c r="E16" s="30">
        <v>1</v>
      </c>
      <c r="F16" s="30">
        <v>0</v>
      </c>
      <c r="G16" s="23" t="s">
        <v>240</v>
      </c>
      <c r="H16" s="23" t="s">
        <v>58</v>
      </c>
      <c r="I16" s="28">
        <v>0</v>
      </c>
      <c r="J16" s="23">
        <v>1</v>
      </c>
      <c r="K16" s="23">
        <v>3</v>
      </c>
      <c r="L16" s="23">
        <v>3</v>
      </c>
      <c r="M16" s="23">
        <v>1</v>
      </c>
      <c r="N16" s="23">
        <v>0</v>
      </c>
      <c r="O16" s="23">
        <v>0</v>
      </c>
      <c r="P16" s="23">
        <v>0</v>
      </c>
      <c r="Q16" s="83">
        <v>0</v>
      </c>
      <c r="R16" s="23">
        <v>0</v>
      </c>
      <c r="S16" s="23"/>
      <c r="T16" s="23"/>
      <c r="U16" s="23"/>
    </row>
    <row r="17" spans="1:21" ht="15.6" customHeight="1" x14ac:dyDescent="0.25">
      <c r="A17" s="14" t="s">
        <v>7</v>
      </c>
      <c r="B17" s="24" t="s">
        <v>84</v>
      </c>
      <c r="C17" s="32" t="s">
        <v>83</v>
      </c>
      <c r="D17" s="14" t="s">
        <v>88</v>
      </c>
      <c r="E17" s="14">
        <v>1</v>
      </c>
      <c r="F17" s="14">
        <v>1</v>
      </c>
      <c r="G17" s="14" t="s">
        <v>86</v>
      </c>
      <c r="H17" s="14" t="s">
        <v>87</v>
      </c>
      <c r="I17" s="14">
        <v>1</v>
      </c>
      <c r="J17" s="18">
        <v>1</v>
      </c>
      <c r="K17" s="18">
        <v>2</v>
      </c>
      <c r="L17" s="25">
        <v>3</v>
      </c>
      <c r="M17" s="18">
        <v>1</v>
      </c>
      <c r="N17" s="18">
        <v>3</v>
      </c>
      <c r="O17" s="18">
        <v>2</v>
      </c>
      <c r="P17" s="18">
        <v>0</v>
      </c>
      <c r="Q17" s="84">
        <v>0</v>
      </c>
      <c r="R17" s="18">
        <v>0</v>
      </c>
      <c r="S17" s="23"/>
      <c r="T17" s="23"/>
      <c r="U17" s="23"/>
    </row>
    <row r="18" spans="1:21" ht="15.6" customHeight="1" x14ac:dyDescent="0.25">
      <c r="A18" s="26" t="s">
        <v>244</v>
      </c>
      <c r="B18" s="22" t="s">
        <v>245</v>
      </c>
      <c r="C18" s="28" t="s">
        <v>246</v>
      </c>
      <c r="D18" s="23" t="s">
        <v>109</v>
      </c>
      <c r="E18" s="30">
        <v>0</v>
      </c>
      <c r="F18" s="30">
        <v>0</v>
      </c>
      <c r="G18" s="23" t="s">
        <v>63</v>
      </c>
      <c r="H18" s="23" t="s">
        <v>58</v>
      </c>
      <c r="I18" s="28">
        <v>0</v>
      </c>
      <c r="J18" s="23">
        <v>1</v>
      </c>
      <c r="K18" s="23">
        <v>2</v>
      </c>
      <c r="L18" s="23">
        <v>3</v>
      </c>
      <c r="M18" s="23">
        <v>1</v>
      </c>
      <c r="N18" s="23">
        <v>0</v>
      </c>
      <c r="O18" s="23">
        <v>1</v>
      </c>
      <c r="P18" s="23">
        <v>3</v>
      </c>
      <c r="Q18" s="23">
        <v>0</v>
      </c>
      <c r="R18" s="23">
        <v>0</v>
      </c>
      <c r="S18" s="23" t="s">
        <v>247</v>
      </c>
      <c r="T18" s="23"/>
      <c r="U18" s="23"/>
    </row>
    <row r="19" spans="1:21" ht="15.6" customHeight="1" x14ac:dyDescent="0.25">
      <c r="A19" s="14" t="s">
        <v>16</v>
      </c>
      <c r="B19" s="24" t="s">
        <v>112</v>
      </c>
      <c r="C19" s="15" t="s">
        <v>110</v>
      </c>
      <c r="D19" s="14" t="s">
        <v>111</v>
      </c>
      <c r="E19" s="14">
        <v>0</v>
      </c>
      <c r="F19" s="14">
        <v>0</v>
      </c>
      <c r="G19" s="14" t="s">
        <v>113</v>
      </c>
      <c r="H19" s="14" t="s">
        <v>58</v>
      </c>
      <c r="I19" s="14">
        <v>0</v>
      </c>
      <c r="J19" s="18">
        <v>0</v>
      </c>
      <c r="K19" s="18">
        <v>1</v>
      </c>
      <c r="L19" s="25">
        <v>3</v>
      </c>
      <c r="M19" s="18">
        <v>1</v>
      </c>
      <c r="N19" s="18">
        <v>0</v>
      </c>
      <c r="O19" s="18">
        <v>0</v>
      </c>
      <c r="P19" s="18">
        <v>0</v>
      </c>
      <c r="Q19" s="18">
        <v>0</v>
      </c>
      <c r="R19" s="18">
        <v>0</v>
      </c>
      <c r="S19" s="23"/>
      <c r="T19" s="23"/>
      <c r="U19" s="23"/>
    </row>
    <row r="20" spans="1:21" ht="15.6" customHeight="1" x14ac:dyDescent="0.25">
      <c r="A20" s="14" t="s">
        <v>8</v>
      </c>
      <c r="B20" s="22" t="s">
        <v>90</v>
      </c>
      <c r="C20" s="15" t="s">
        <v>89</v>
      </c>
      <c r="D20" s="14" t="s">
        <v>88</v>
      </c>
      <c r="E20" s="14">
        <v>0</v>
      </c>
      <c r="F20" s="14">
        <v>1</v>
      </c>
      <c r="G20" s="14" t="s">
        <v>91</v>
      </c>
      <c r="H20" s="14" t="s">
        <v>92</v>
      </c>
      <c r="I20" s="14">
        <v>1</v>
      </c>
      <c r="J20" s="18">
        <v>0</v>
      </c>
      <c r="K20" s="18">
        <v>2</v>
      </c>
      <c r="L20" s="25">
        <v>3</v>
      </c>
      <c r="M20" s="18">
        <v>1</v>
      </c>
      <c r="N20" s="18">
        <v>1</v>
      </c>
      <c r="O20" s="18">
        <v>1</v>
      </c>
      <c r="P20" s="23">
        <v>2</v>
      </c>
      <c r="Q20" s="18">
        <v>1</v>
      </c>
      <c r="R20" s="18">
        <v>1</v>
      </c>
      <c r="S20" s="23"/>
      <c r="T20" s="23"/>
      <c r="U20" s="23"/>
    </row>
    <row r="21" spans="1:21" ht="15.6" customHeight="1" x14ac:dyDescent="0.25">
      <c r="A21" s="26" t="s">
        <v>160</v>
      </c>
      <c r="B21" s="1" t="s">
        <v>249</v>
      </c>
      <c r="C21" s="28" t="s">
        <v>248</v>
      </c>
      <c r="D21" s="23" t="s">
        <v>219</v>
      </c>
      <c r="E21" s="30">
        <v>0</v>
      </c>
      <c r="F21" s="30">
        <v>1</v>
      </c>
      <c r="G21" s="23" t="s">
        <v>58</v>
      </c>
      <c r="H21" s="23" t="s">
        <v>58</v>
      </c>
      <c r="I21" s="28">
        <v>1</v>
      </c>
      <c r="J21" s="23">
        <v>0</v>
      </c>
      <c r="K21" s="23">
        <v>2</v>
      </c>
      <c r="L21" s="23">
        <v>2</v>
      </c>
      <c r="M21" s="23">
        <v>1</v>
      </c>
      <c r="N21" s="23">
        <v>0</v>
      </c>
      <c r="O21" s="23">
        <v>1</v>
      </c>
      <c r="P21" s="7">
        <v>1</v>
      </c>
      <c r="Q21" s="18">
        <v>3</v>
      </c>
      <c r="R21" s="18">
        <v>2</v>
      </c>
      <c r="S21" s="18" t="s">
        <v>222</v>
      </c>
      <c r="T21" s="23"/>
      <c r="U21" s="23"/>
    </row>
    <row r="22" spans="1:21" ht="15.6" customHeight="1" x14ac:dyDescent="0.25">
      <c r="A22" s="23" t="s">
        <v>45</v>
      </c>
      <c r="B22" s="22" t="s">
        <v>60</v>
      </c>
      <c r="C22" s="23" t="s">
        <v>61</v>
      </c>
      <c r="D22" s="23" t="s">
        <v>62</v>
      </c>
      <c r="E22" s="23">
        <v>0</v>
      </c>
      <c r="F22" s="23">
        <v>0</v>
      </c>
      <c r="G22" s="23" t="s">
        <v>63</v>
      </c>
      <c r="H22" s="23" t="s">
        <v>58</v>
      </c>
      <c r="I22" s="28" t="s">
        <v>68</v>
      </c>
      <c r="J22" s="23">
        <v>1</v>
      </c>
      <c r="K22" s="23">
        <v>1</v>
      </c>
      <c r="L22" s="23">
        <v>1</v>
      </c>
      <c r="M22" s="23">
        <v>1</v>
      </c>
      <c r="N22" s="23">
        <v>0</v>
      </c>
      <c r="O22" s="23">
        <v>1</v>
      </c>
      <c r="P22" s="7">
        <v>1</v>
      </c>
      <c r="Q22" s="23">
        <v>3</v>
      </c>
      <c r="R22" s="23">
        <v>2</v>
      </c>
      <c r="S22" s="23"/>
      <c r="T22" s="23"/>
      <c r="U22" s="23"/>
    </row>
    <row r="23" spans="1:21" ht="15.6" customHeight="1" x14ac:dyDescent="0.25">
      <c r="A23" s="23" t="s">
        <v>28</v>
      </c>
      <c r="B23" s="22" t="s">
        <v>299</v>
      </c>
      <c r="C23" s="23" t="s">
        <v>304</v>
      </c>
      <c r="D23" s="23" t="s">
        <v>300</v>
      </c>
      <c r="E23" s="23">
        <v>0</v>
      </c>
      <c r="F23" s="23">
        <v>0</v>
      </c>
      <c r="G23" s="23" t="s">
        <v>301</v>
      </c>
      <c r="H23" s="23" t="s">
        <v>58</v>
      </c>
      <c r="I23" s="28">
        <v>1</v>
      </c>
      <c r="J23" s="23">
        <v>1</v>
      </c>
      <c r="K23" s="23">
        <v>2</v>
      </c>
      <c r="L23" s="23">
        <v>1</v>
      </c>
      <c r="M23" s="23">
        <v>1</v>
      </c>
      <c r="N23" s="23">
        <v>0</v>
      </c>
      <c r="O23" s="23">
        <v>1</v>
      </c>
      <c r="P23" s="7">
        <v>1</v>
      </c>
      <c r="Q23" s="18">
        <v>3</v>
      </c>
      <c r="R23" s="18">
        <v>1</v>
      </c>
      <c r="S23" s="23"/>
      <c r="T23" s="23"/>
      <c r="U23" s="23"/>
    </row>
    <row r="24" spans="1:21" ht="15.6" customHeight="1" x14ac:dyDescent="0.25">
      <c r="A24" s="14" t="s">
        <v>12</v>
      </c>
      <c r="B24" s="24" t="s">
        <v>99</v>
      </c>
      <c r="C24" s="15" t="s">
        <v>100</v>
      </c>
      <c r="D24" s="14" t="s">
        <v>101</v>
      </c>
      <c r="E24" s="14">
        <v>1</v>
      </c>
      <c r="F24" s="14">
        <v>0</v>
      </c>
      <c r="G24" s="14" t="s">
        <v>63</v>
      </c>
      <c r="H24" s="14" t="s">
        <v>58</v>
      </c>
      <c r="I24" s="14">
        <v>1</v>
      </c>
      <c r="J24" s="18">
        <v>0</v>
      </c>
      <c r="K24" s="18">
        <v>3</v>
      </c>
      <c r="L24" s="25">
        <v>3</v>
      </c>
      <c r="M24" s="18">
        <v>1</v>
      </c>
      <c r="N24" s="18">
        <v>4</v>
      </c>
      <c r="O24" s="18">
        <v>1</v>
      </c>
      <c r="P24" s="18">
        <v>0</v>
      </c>
      <c r="Q24" s="84">
        <v>1</v>
      </c>
      <c r="R24" s="18">
        <v>2</v>
      </c>
      <c r="S24" s="23"/>
      <c r="T24" s="23"/>
      <c r="U24" s="23"/>
    </row>
    <row r="25" spans="1:21" ht="15.6" customHeight="1" x14ac:dyDescent="0.25">
      <c r="A25" s="23" t="s">
        <v>44</v>
      </c>
      <c r="B25" s="1" t="s">
        <v>64</v>
      </c>
      <c r="C25" s="28" t="s">
        <v>65</v>
      </c>
      <c r="D25" s="23" t="s">
        <v>66</v>
      </c>
      <c r="E25" s="23">
        <v>0</v>
      </c>
      <c r="F25" s="23">
        <v>0</v>
      </c>
      <c r="G25" s="23" t="s">
        <v>57</v>
      </c>
      <c r="H25" s="23" t="s">
        <v>58</v>
      </c>
      <c r="I25" s="28" t="s">
        <v>68</v>
      </c>
      <c r="J25" s="23">
        <v>1</v>
      </c>
      <c r="K25" s="23">
        <v>3</v>
      </c>
      <c r="L25" s="23">
        <v>1</v>
      </c>
      <c r="M25" s="23">
        <v>1</v>
      </c>
      <c r="N25" s="23">
        <v>0</v>
      </c>
      <c r="O25" s="23">
        <v>0</v>
      </c>
      <c r="P25" s="23">
        <v>1</v>
      </c>
      <c r="Q25" s="23">
        <v>1</v>
      </c>
      <c r="R25" s="23">
        <v>1</v>
      </c>
      <c r="S25" s="23"/>
      <c r="T25" s="23"/>
      <c r="U25" s="23"/>
    </row>
    <row r="26" spans="1:21" ht="15.6" customHeight="1" x14ac:dyDescent="0.25">
      <c r="A26" s="26" t="s">
        <v>250</v>
      </c>
      <c r="B26" s="22" t="s">
        <v>183</v>
      </c>
      <c r="C26" s="23" t="s">
        <v>251</v>
      </c>
      <c r="D26" s="23" t="s">
        <v>85</v>
      </c>
      <c r="E26" s="30">
        <v>1</v>
      </c>
      <c r="F26" s="30">
        <v>0</v>
      </c>
      <c r="G26" s="23" t="s">
        <v>252</v>
      </c>
      <c r="H26" s="23" t="s">
        <v>58</v>
      </c>
      <c r="I26" s="28">
        <v>0</v>
      </c>
      <c r="J26" s="23">
        <v>1</v>
      </c>
      <c r="K26" s="23">
        <v>2</v>
      </c>
      <c r="L26" s="23">
        <v>3</v>
      </c>
      <c r="M26" s="23">
        <v>1</v>
      </c>
      <c r="N26" s="23">
        <v>3</v>
      </c>
      <c r="O26" s="23">
        <v>0</v>
      </c>
      <c r="P26" s="23">
        <v>0</v>
      </c>
      <c r="Q26" s="83">
        <v>0</v>
      </c>
      <c r="R26" s="23">
        <v>0</v>
      </c>
      <c r="S26" s="23"/>
      <c r="T26" s="23"/>
      <c r="U26" s="23"/>
    </row>
    <row r="27" spans="1:21" ht="15.6" customHeight="1" x14ac:dyDescent="0.25">
      <c r="A27" s="14" t="s">
        <v>13</v>
      </c>
      <c r="B27" s="22" t="s">
        <v>103</v>
      </c>
      <c r="C27" s="15" t="s">
        <v>102</v>
      </c>
      <c r="D27" s="14" t="s">
        <v>104</v>
      </c>
      <c r="E27" s="14">
        <v>1</v>
      </c>
      <c r="F27" s="14">
        <v>0</v>
      </c>
      <c r="G27" s="14" t="s">
        <v>63</v>
      </c>
      <c r="H27" s="14" t="s">
        <v>58</v>
      </c>
      <c r="I27" s="14">
        <v>0</v>
      </c>
      <c r="J27" s="18">
        <v>1</v>
      </c>
      <c r="K27" s="18">
        <v>2</v>
      </c>
      <c r="L27" s="25">
        <v>3</v>
      </c>
      <c r="M27" s="18">
        <v>1</v>
      </c>
      <c r="N27" s="18">
        <v>3</v>
      </c>
      <c r="O27" s="18">
        <v>1</v>
      </c>
      <c r="P27" s="23">
        <v>2</v>
      </c>
      <c r="Q27" s="84">
        <v>1</v>
      </c>
      <c r="R27" s="18">
        <v>0</v>
      </c>
      <c r="S27" s="23"/>
      <c r="T27" s="23"/>
      <c r="U27" s="23"/>
    </row>
    <row r="28" spans="1:21" ht="15.6" customHeight="1" x14ac:dyDescent="0.25">
      <c r="A28" s="23" t="s">
        <v>53</v>
      </c>
      <c r="B28" s="22" t="s">
        <v>54</v>
      </c>
      <c r="C28" s="23" t="s">
        <v>55</v>
      </c>
      <c r="D28" s="23" t="s">
        <v>56</v>
      </c>
      <c r="E28" s="23">
        <v>0</v>
      </c>
      <c r="F28" s="23">
        <v>0</v>
      </c>
      <c r="G28" s="23" t="s">
        <v>57</v>
      </c>
      <c r="H28" s="23" t="s">
        <v>58</v>
      </c>
      <c r="I28" s="28">
        <v>0</v>
      </c>
      <c r="J28" s="23">
        <v>1</v>
      </c>
      <c r="K28" s="23">
        <v>3</v>
      </c>
      <c r="L28" s="23">
        <v>1</v>
      </c>
      <c r="M28" s="23">
        <v>1</v>
      </c>
      <c r="N28" s="23">
        <v>0</v>
      </c>
      <c r="O28" s="23">
        <v>1</v>
      </c>
      <c r="P28" s="23">
        <v>1</v>
      </c>
      <c r="Q28" s="23">
        <v>1</v>
      </c>
      <c r="R28" s="23">
        <v>0</v>
      </c>
      <c r="S28" s="23" t="s">
        <v>59</v>
      </c>
      <c r="T28" s="23"/>
      <c r="U28" s="23"/>
    </row>
    <row r="29" spans="1:21" ht="15.6" customHeight="1" x14ac:dyDescent="0.25">
      <c r="A29" s="5" t="s">
        <v>314</v>
      </c>
      <c r="B29" s="8" t="s">
        <v>312</v>
      </c>
      <c r="C29" s="6" t="s">
        <v>315</v>
      </c>
      <c r="D29" s="23" t="s">
        <v>62</v>
      </c>
      <c r="E29" s="23">
        <v>1</v>
      </c>
      <c r="F29" s="23">
        <v>0</v>
      </c>
      <c r="G29" s="23" t="s">
        <v>58</v>
      </c>
      <c r="H29" s="23" t="s">
        <v>58</v>
      </c>
      <c r="I29" s="28">
        <v>1</v>
      </c>
      <c r="J29" s="23">
        <v>1</v>
      </c>
      <c r="K29" s="23">
        <v>1</v>
      </c>
      <c r="L29" s="23">
        <v>1</v>
      </c>
      <c r="M29" s="23">
        <v>1</v>
      </c>
      <c r="N29" s="23">
        <v>3</v>
      </c>
      <c r="O29" s="23">
        <v>1</v>
      </c>
      <c r="P29" s="151">
        <v>3</v>
      </c>
      <c r="Q29" s="83">
        <v>3</v>
      </c>
      <c r="R29" s="23">
        <v>2</v>
      </c>
      <c r="S29" s="23"/>
      <c r="T29" s="23"/>
      <c r="U29" s="23"/>
    </row>
    <row r="30" spans="1:21" ht="15.6" customHeight="1" x14ac:dyDescent="0.25">
      <c r="A30" s="26" t="s">
        <v>180</v>
      </c>
      <c r="B30" s="27" t="s">
        <v>181</v>
      </c>
      <c r="C30" s="29" t="s">
        <v>253</v>
      </c>
      <c r="D30" s="30" t="s">
        <v>236</v>
      </c>
      <c r="E30" s="30">
        <v>1</v>
      </c>
      <c r="F30" s="30">
        <v>0</v>
      </c>
      <c r="G30" s="23" t="s">
        <v>57</v>
      </c>
      <c r="H30" s="23" t="s">
        <v>48</v>
      </c>
      <c r="I30" s="28">
        <v>0</v>
      </c>
      <c r="J30" s="23">
        <v>1</v>
      </c>
      <c r="K30" s="23">
        <v>2</v>
      </c>
      <c r="L30" s="23">
        <v>3</v>
      </c>
      <c r="M30" s="23">
        <v>1</v>
      </c>
      <c r="N30" s="23">
        <v>0</v>
      </c>
      <c r="O30" s="23">
        <v>0</v>
      </c>
      <c r="P30" s="23">
        <v>0</v>
      </c>
      <c r="Q30" s="83">
        <v>0</v>
      </c>
      <c r="R30" s="23">
        <v>0</v>
      </c>
      <c r="S30" s="23"/>
      <c r="T30" s="23"/>
      <c r="U30" s="23"/>
    </row>
    <row r="31" spans="1:21" ht="15.6" customHeight="1" x14ac:dyDescent="0.25">
      <c r="A31" s="14" t="s">
        <v>15</v>
      </c>
      <c r="B31" s="24" t="s">
        <v>108</v>
      </c>
      <c r="C31" s="14" t="s">
        <v>15</v>
      </c>
      <c r="D31" s="14" t="s">
        <v>109</v>
      </c>
      <c r="E31" s="14">
        <v>0</v>
      </c>
      <c r="F31" s="14">
        <v>0</v>
      </c>
      <c r="G31" s="14" t="s">
        <v>63</v>
      </c>
      <c r="H31" s="14" t="s">
        <v>58</v>
      </c>
      <c r="I31" s="14">
        <v>0</v>
      </c>
      <c r="J31" s="18">
        <v>1</v>
      </c>
      <c r="K31" s="18">
        <v>3</v>
      </c>
      <c r="L31" s="25">
        <v>3</v>
      </c>
      <c r="M31" s="18">
        <v>1</v>
      </c>
      <c r="N31" s="18">
        <v>0</v>
      </c>
      <c r="O31" s="18">
        <v>1</v>
      </c>
      <c r="P31" s="18">
        <v>1</v>
      </c>
      <c r="Q31" s="18">
        <v>0</v>
      </c>
      <c r="R31" s="18">
        <v>0</v>
      </c>
      <c r="S31" s="23"/>
      <c r="T31" s="23"/>
      <c r="U31" s="23"/>
    </row>
    <row r="32" spans="1:21" ht="15.6" customHeight="1" x14ac:dyDescent="0.25">
      <c r="A32" s="26" t="s">
        <v>191</v>
      </c>
      <c r="B32" s="27" t="s">
        <v>254</v>
      </c>
      <c r="C32" s="23" t="s">
        <v>302</v>
      </c>
      <c r="D32" s="29" t="s">
        <v>255</v>
      </c>
      <c r="E32" s="30">
        <v>1</v>
      </c>
      <c r="F32" s="30">
        <v>0</v>
      </c>
      <c r="G32" s="23" t="s">
        <v>256</v>
      </c>
      <c r="H32" s="23" t="s">
        <v>58</v>
      </c>
      <c r="I32" s="28">
        <v>0</v>
      </c>
      <c r="J32" s="23">
        <v>1</v>
      </c>
      <c r="K32" s="23">
        <v>2</v>
      </c>
      <c r="L32" s="23">
        <v>3</v>
      </c>
      <c r="M32" s="23">
        <v>1</v>
      </c>
      <c r="N32" s="23">
        <v>0</v>
      </c>
      <c r="O32" s="23">
        <v>1</v>
      </c>
      <c r="P32" s="23">
        <v>0</v>
      </c>
      <c r="Q32" s="83">
        <v>0</v>
      </c>
      <c r="R32" s="23">
        <v>0</v>
      </c>
      <c r="S32" s="23"/>
      <c r="T32" s="23"/>
      <c r="U32" s="23"/>
    </row>
    <row r="33" spans="1:21" ht="15.6" customHeight="1" x14ac:dyDescent="0.25">
      <c r="A33" s="26" t="s">
        <v>172</v>
      </c>
      <c r="B33" s="27" t="s">
        <v>173</v>
      </c>
      <c r="C33" s="23" t="s">
        <v>258</v>
      </c>
      <c r="D33" s="23" t="s">
        <v>104</v>
      </c>
      <c r="E33" s="30">
        <v>0</v>
      </c>
      <c r="F33" s="30">
        <v>0</v>
      </c>
      <c r="G33" s="23" t="s">
        <v>259</v>
      </c>
      <c r="H33" s="23" t="s">
        <v>58</v>
      </c>
      <c r="I33" s="28">
        <v>0</v>
      </c>
      <c r="J33" s="23">
        <v>0</v>
      </c>
      <c r="K33" s="23">
        <v>2</v>
      </c>
      <c r="L33" s="23">
        <v>2</v>
      </c>
      <c r="M33" s="23">
        <v>1</v>
      </c>
      <c r="N33" s="23">
        <v>0</v>
      </c>
      <c r="O33" s="23">
        <v>2</v>
      </c>
      <c r="P33" s="23">
        <v>0</v>
      </c>
      <c r="Q33" s="23">
        <v>0</v>
      </c>
      <c r="R33" s="23">
        <v>0</v>
      </c>
      <c r="S33" s="23"/>
      <c r="T33" s="23"/>
      <c r="U33" s="23"/>
    </row>
    <row r="34" spans="1:21" ht="15.6" customHeight="1" x14ac:dyDescent="0.25">
      <c r="A34" s="14" t="s">
        <v>6</v>
      </c>
      <c r="B34" s="22" t="s">
        <v>80</v>
      </c>
      <c r="C34" s="15" t="s">
        <v>82</v>
      </c>
      <c r="D34" s="14" t="s">
        <v>81</v>
      </c>
      <c r="E34" s="14">
        <v>0</v>
      </c>
      <c r="F34" s="14">
        <v>0</v>
      </c>
      <c r="G34" s="14" t="s">
        <v>63</v>
      </c>
      <c r="H34" s="14" t="s">
        <v>58</v>
      </c>
      <c r="I34" s="14">
        <v>0</v>
      </c>
      <c r="J34" s="18">
        <v>1</v>
      </c>
      <c r="K34" s="18">
        <v>1</v>
      </c>
      <c r="L34" s="25">
        <v>1</v>
      </c>
      <c r="M34" s="18">
        <v>1</v>
      </c>
      <c r="N34" s="18">
        <v>0</v>
      </c>
      <c r="O34" s="18">
        <v>0</v>
      </c>
      <c r="P34" s="18">
        <v>1</v>
      </c>
      <c r="Q34" s="18">
        <v>2</v>
      </c>
      <c r="R34" s="18">
        <v>1</v>
      </c>
      <c r="S34" s="23"/>
      <c r="T34" s="23"/>
      <c r="U34" s="23"/>
    </row>
    <row r="35" spans="1:21" ht="15.6" customHeight="1" x14ac:dyDescent="0.25">
      <c r="A35" s="26" t="s">
        <v>132</v>
      </c>
      <c r="B35" s="27" t="s">
        <v>133</v>
      </c>
      <c r="C35" s="16" t="s">
        <v>306</v>
      </c>
      <c r="D35" s="23" t="s">
        <v>260</v>
      </c>
      <c r="E35" s="30">
        <v>0</v>
      </c>
      <c r="F35" s="30">
        <v>1</v>
      </c>
      <c r="G35" s="23" t="s">
        <v>261</v>
      </c>
      <c r="H35" s="23" t="s">
        <v>262</v>
      </c>
      <c r="I35" s="23">
        <v>0</v>
      </c>
      <c r="J35" s="23">
        <v>0</v>
      </c>
      <c r="K35" s="23">
        <v>2</v>
      </c>
      <c r="L35" s="23">
        <v>2</v>
      </c>
      <c r="M35" s="23">
        <v>1</v>
      </c>
      <c r="N35" s="23">
        <v>0</v>
      </c>
      <c r="O35" s="23">
        <v>3</v>
      </c>
      <c r="P35" s="23">
        <v>0</v>
      </c>
      <c r="Q35" s="23">
        <v>0</v>
      </c>
      <c r="R35" s="23">
        <v>0</v>
      </c>
      <c r="S35" s="23"/>
      <c r="T35" s="23"/>
      <c r="U35" s="23"/>
    </row>
    <row r="36" spans="1:21" s="132" customFormat="1" ht="15.6" customHeight="1" x14ac:dyDescent="0.25">
      <c r="A36" s="152" t="s">
        <v>354</v>
      </c>
      <c r="B36" s="155" t="s">
        <v>384</v>
      </c>
      <c r="C36" s="157" t="s">
        <v>385</v>
      </c>
      <c r="D36" s="151" t="s">
        <v>356</v>
      </c>
      <c r="E36" s="158">
        <v>0</v>
      </c>
      <c r="F36" s="158">
        <v>0</v>
      </c>
      <c r="G36" s="151" t="s">
        <v>58</v>
      </c>
      <c r="H36" s="151" t="s">
        <v>58</v>
      </c>
      <c r="I36" s="151">
        <v>0</v>
      </c>
      <c r="J36" s="151">
        <v>0</v>
      </c>
      <c r="K36" s="151">
        <v>3</v>
      </c>
      <c r="L36" s="151">
        <v>3</v>
      </c>
      <c r="M36" s="151">
        <v>1</v>
      </c>
      <c r="N36" s="151">
        <v>0</v>
      </c>
      <c r="O36" s="151">
        <v>1</v>
      </c>
      <c r="P36" s="151">
        <v>2</v>
      </c>
      <c r="Q36" s="151">
        <v>0</v>
      </c>
      <c r="R36" s="151">
        <v>0</v>
      </c>
      <c r="S36" s="151"/>
      <c r="T36" s="151"/>
      <c r="U36" s="151"/>
    </row>
    <row r="37" spans="1:21" ht="15.6" customHeight="1" x14ac:dyDescent="0.25">
      <c r="A37" s="14" t="s">
        <v>17</v>
      </c>
      <c r="B37" s="24" t="s">
        <v>114</v>
      </c>
      <c r="C37" s="15" t="s">
        <v>115</v>
      </c>
      <c r="D37" s="14" t="s">
        <v>81</v>
      </c>
      <c r="E37" s="14">
        <v>1</v>
      </c>
      <c r="F37" s="14">
        <v>0</v>
      </c>
      <c r="G37" s="14" t="s">
        <v>63</v>
      </c>
      <c r="H37" s="14" t="s">
        <v>58</v>
      </c>
      <c r="I37" s="14">
        <v>1</v>
      </c>
      <c r="J37" s="18">
        <v>1</v>
      </c>
      <c r="K37" s="18">
        <v>2</v>
      </c>
      <c r="L37" s="25">
        <v>3</v>
      </c>
      <c r="M37" s="18">
        <v>1</v>
      </c>
      <c r="N37" s="18" t="s">
        <v>367</v>
      </c>
      <c r="O37" s="18">
        <v>1</v>
      </c>
      <c r="P37" s="18">
        <v>0</v>
      </c>
      <c r="Q37" s="84">
        <v>3</v>
      </c>
      <c r="R37" s="18">
        <v>1</v>
      </c>
      <c r="S37" s="23"/>
      <c r="T37" s="23"/>
      <c r="U37" s="23"/>
    </row>
    <row r="38" spans="1:21" ht="15.6" customHeight="1" x14ac:dyDescent="0.25">
      <c r="A38" s="14" t="s">
        <v>128</v>
      </c>
      <c r="B38" s="24" t="s">
        <v>96</v>
      </c>
      <c r="C38" s="23" t="s">
        <v>264</v>
      </c>
      <c r="D38" s="14" t="s">
        <v>263</v>
      </c>
      <c r="E38" s="14">
        <v>1</v>
      </c>
      <c r="F38" s="14">
        <v>0</v>
      </c>
      <c r="G38" s="14" t="s">
        <v>63</v>
      </c>
      <c r="H38" s="14" t="s">
        <v>336</v>
      </c>
      <c r="I38" s="14">
        <v>0</v>
      </c>
      <c r="J38" s="18">
        <v>0</v>
      </c>
      <c r="K38" s="18">
        <v>2</v>
      </c>
      <c r="L38" s="25">
        <v>2</v>
      </c>
      <c r="M38" s="18">
        <v>1</v>
      </c>
      <c r="N38" s="18">
        <v>0</v>
      </c>
      <c r="O38" s="18">
        <v>0</v>
      </c>
      <c r="P38" s="18">
        <v>0</v>
      </c>
      <c r="Q38" s="84">
        <v>2</v>
      </c>
      <c r="R38" s="18">
        <v>1</v>
      </c>
      <c r="S38" s="23"/>
      <c r="T38" s="23"/>
      <c r="U38" s="23"/>
    </row>
    <row r="39" spans="1:21" ht="15.6" customHeight="1" x14ac:dyDescent="0.25">
      <c r="A39" s="14" t="s">
        <v>4</v>
      </c>
      <c r="B39" s="24" t="s">
        <v>73</v>
      </c>
      <c r="C39" s="15" t="s">
        <v>74</v>
      </c>
      <c r="D39" s="14" t="s">
        <v>75</v>
      </c>
      <c r="E39" s="14">
        <v>0</v>
      </c>
      <c r="F39" s="14">
        <v>0</v>
      </c>
      <c r="G39" s="14" t="s">
        <v>58</v>
      </c>
      <c r="H39" s="14" t="s">
        <v>58</v>
      </c>
      <c r="I39" s="14">
        <v>1</v>
      </c>
      <c r="J39" s="18">
        <v>1</v>
      </c>
      <c r="K39" s="18">
        <v>3</v>
      </c>
      <c r="L39" s="18">
        <v>3</v>
      </c>
      <c r="M39" s="18">
        <v>1</v>
      </c>
      <c r="N39" s="18">
        <v>4</v>
      </c>
      <c r="O39" s="18">
        <v>0</v>
      </c>
      <c r="P39" s="18">
        <v>0</v>
      </c>
      <c r="Q39" s="18">
        <v>0</v>
      </c>
      <c r="R39" s="18">
        <v>0</v>
      </c>
      <c r="S39" s="23"/>
      <c r="T39" s="23"/>
      <c r="U39" s="23"/>
    </row>
    <row r="40" spans="1:21" ht="15.6" customHeight="1" x14ac:dyDescent="0.25">
      <c r="A40" s="14" t="s">
        <v>14</v>
      </c>
      <c r="B40" s="24" t="s">
        <v>105</v>
      </c>
      <c r="C40" s="15" t="s">
        <v>106</v>
      </c>
      <c r="D40" s="14" t="s">
        <v>107</v>
      </c>
      <c r="E40" s="14">
        <v>0</v>
      </c>
      <c r="F40" s="14">
        <v>0</v>
      </c>
      <c r="G40" s="14" t="s">
        <v>63</v>
      </c>
      <c r="H40" s="14" t="s">
        <v>58</v>
      </c>
      <c r="I40" s="14">
        <v>0</v>
      </c>
      <c r="J40" s="18">
        <v>1</v>
      </c>
      <c r="K40" s="18">
        <v>1</v>
      </c>
      <c r="L40" s="25">
        <v>1</v>
      </c>
      <c r="M40" s="18">
        <v>1</v>
      </c>
      <c r="N40" s="18">
        <v>0</v>
      </c>
      <c r="O40" s="18">
        <v>2</v>
      </c>
      <c r="P40" s="18">
        <v>0</v>
      </c>
      <c r="Q40" s="18">
        <v>0</v>
      </c>
      <c r="R40" s="18">
        <v>0</v>
      </c>
      <c r="S40" s="23"/>
      <c r="T40" s="23"/>
      <c r="U40" s="23"/>
    </row>
    <row r="41" spans="1:21" ht="15.6" customHeight="1" x14ac:dyDescent="0.25">
      <c r="A41" s="14" t="s">
        <v>20</v>
      </c>
      <c r="B41" s="24" t="s">
        <v>124</v>
      </c>
      <c r="C41" s="32" t="s">
        <v>209</v>
      </c>
      <c r="D41" s="14" t="s">
        <v>79</v>
      </c>
      <c r="E41" s="14">
        <v>1</v>
      </c>
      <c r="F41" s="14">
        <v>0</v>
      </c>
      <c r="G41" s="14" t="s">
        <v>63</v>
      </c>
      <c r="H41" s="14" t="s">
        <v>58</v>
      </c>
      <c r="I41" s="14">
        <v>0</v>
      </c>
      <c r="J41" s="18">
        <v>1</v>
      </c>
      <c r="K41" s="18">
        <v>2</v>
      </c>
      <c r="L41" s="18">
        <v>2</v>
      </c>
      <c r="M41" s="18">
        <v>0</v>
      </c>
      <c r="N41" s="18">
        <v>0</v>
      </c>
      <c r="O41" s="18">
        <v>1</v>
      </c>
      <c r="P41" s="18">
        <v>0</v>
      </c>
      <c r="Q41" s="84">
        <v>0</v>
      </c>
      <c r="R41" s="18">
        <v>0</v>
      </c>
      <c r="S41" s="23"/>
      <c r="T41" s="23"/>
      <c r="U41" s="23"/>
    </row>
    <row r="42" spans="1:21" ht="15.6" customHeight="1" x14ac:dyDescent="0.25">
      <c r="A42" s="14" t="s">
        <v>11</v>
      </c>
      <c r="B42" s="24" t="s">
        <v>98</v>
      </c>
      <c r="C42" s="15" t="s">
        <v>97</v>
      </c>
      <c r="D42" s="14" t="s">
        <v>85</v>
      </c>
      <c r="E42" s="14">
        <v>1</v>
      </c>
      <c r="F42" s="14">
        <v>0</v>
      </c>
      <c r="G42" s="14" t="s">
        <v>63</v>
      </c>
      <c r="H42" s="14" t="s">
        <v>58</v>
      </c>
      <c r="I42" s="14">
        <v>0</v>
      </c>
      <c r="J42" s="18">
        <v>1</v>
      </c>
      <c r="K42" s="18">
        <v>3</v>
      </c>
      <c r="L42" s="25">
        <v>3</v>
      </c>
      <c r="M42" s="18">
        <v>1</v>
      </c>
      <c r="N42" s="18">
        <v>0</v>
      </c>
      <c r="O42" s="18">
        <v>1</v>
      </c>
      <c r="P42" s="18">
        <v>0</v>
      </c>
      <c r="Q42" s="84">
        <v>0</v>
      </c>
      <c r="R42" s="18">
        <v>0</v>
      </c>
      <c r="S42" s="23"/>
      <c r="T42" s="23"/>
      <c r="U42" s="23"/>
    </row>
    <row r="43" spans="1:21" ht="15.6" customHeight="1" x14ac:dyDescent="0.25">
      <c r="A43" s="14" t="s">
        <v>23</v>
      </c>
      <c r="B43" s="24" t="s">
        <v>213</v>
      </c>
      <c r="C43" s="14"/>
      <c r="D43" s="14" t="s">
        <v>81</v>
      </c>
      <c r="E43" s="14">
        <v>1</v>
      </c>
      <c r="F43" s="14">
        <v>0</v>
      </c>
      <c r="G43" s="14" t="s">
        <v>214</v>
      </c>
      <c r="H43" s="14" t="s">
        <v>58</v>
      </c>
      <c r="I43" s="14" t="s">
        <v>215</v>
      </c>
      <c r="J43" s="18">
        <v>1</v>
      </c>
      <c r="K43" s="18">
        <v>3</v>
      </c>
      <c r="L43" s="18">
        <v>2</v>
      </c>
      <c r="M43" s="18">
        <v>0</v>
      </c>
      <c r="N43" s="18">
        <v>1</v>
      </c>
      <c r="O43" s="18">
        <v>0</v>
      </c>
      <c r="P43" s="18">
        <v>0</v>
      </c>
      <c r="Q43" s="84">
        <v>2</v>
      </c>
      <c r="R43" s="18">
        <v>1</v>
      </c>
      <c r="S43" s="23"/>
      <c r="T43" s="23"/>
      <c r="U43" s="23"/>
    </row>
    <row r="44" spans="1:21" ht="15.6" customHeight="1" x14ac:dyDescent="0.25">
      <c r="A44" s="14" t="s">
        <v>10</v>
      </c>
      <c r="B44" s="24" t="s">
        <v>96</v>
      </c>
      <c r="C44" s="33" t="s">
        <v>95</v>
      </c>
      <c r="D44" s="14" t="s">
        <v>81</v>
      </c>
      <c r="E44" s="14">
        <v>1</v>
      </c>
      <c r="F44" s="14">
        <v>0</v>
      </c>
      <c r="G44" s="14" t="s">
        <v>63</v>
      </c>
      <c r="H44" s="14" t="s">
        <v>58</v>
      </c>
      <c r="I44" s="14">
        <v>0</v>
      </c>
      <c r="J44" s="18">
        <v>1</v>
      </c>
      <c r="K44" s="18">
        <v>3</v>
      </c>
      <c r="L44" s="25">
        <v>3</v>
      </c>
      <c r="M44" s="18">
        <v>1</v>
      </c>
      <c r="N44" s="18">
        <v>0</v>
      </c>
      <c r="O44" s="18">
        <v>1</v>
      </c>
      <c r="P44" s="18">
        <v>0</v>
      </c>
      <c r="Q44" s="84">
        <v>2</v>
      </c>
      <c r="R44" s="18">
        <v>1</v>
      </c>
      <c r="S44" s="23"/>
      <c r="T44" s="23"/>
      <c r="U44" s="23"/>
    </row>
    <row r="45" spans="1:21" ht="15.6" customHeight="1" x14ac:dyDescent="0.25">
      <c r="A45" s="26" t="s">
        <v>189</v>
      </c>
      <c r="B45" s="27" t="s">
        <v>190</v>
      </c>
      <c r="C45" s="34" t="s">
        <v>305</v>
      </c>
      <c r="D45" s="23" t="s">
        <v>265</v>
      </c>
      <c r="E45" s="30">
        <v>1</v>
      </c>
      <c r="F45" s="30">
        <v>0</v>
      </c>
      <c r="G45" s="23" t="s">
        <v>63</v>
      </c>
      <c r="H45" s="23" t="s">
        <v>58</v>
      </c>
      <c r="I45" s="23">
        <v>0</v>
      </c>
      <c r="J45" s="23">
        <v>1</v>
      </c>
      <c r="K45" s="23">
        <v>2</v>
      </c>
      <c r="L45" s="23">
        <v>3</v>
      </c>
      <c r="M45" s="23">
        <v>1</v>
      </c>
      <c r="N45" s="23">
        <v>0</v>
      </c>
      <c r="O45" s="23">
        <v>0</v>
      </c>
      <c r="P45" s="23">
        <v>0</v>
      </c>
      <c r="Q45" s="83">
        <v>0</v>
      </c>
      <c r="R45" s="23">
        <v>0</v>
      </c>
      <c r="S45" s="23" t="s">
        <v>67</v>
      </c>
      <c r="T45" s="23"/>
      <c r="U45" s="23"/>
    </row>
    <row r="46" spans="1:21" ht="15.6" customHeight="1" x14ac:dyDescent="0.25">
      <c r="A46" s="14" t="s">
        <v>18</v>
      </c>
      <c r="B46" s="24" t="s">
        <v>116</v>
      </c>
      <c r="C46" s="32" t="s">
        <v>303</v>
      </c>
      <c r="D46" s="14" t="s">
        <v>111</v>
      </c>
      <c r="E46" s="14">
        <v>0</v>
      </c>
      <c r="F46" s="14">
        <v>0</v>
      </c>
      <c r="G46" s="14" t="s">
        <v>58</v>
      </c>
      <c r="H46" s="14" t="s">
        <v>58</v>
      </c>
      <c r="I46" s="14">
        <v>1</v>
      </c>
      <c r="J46" s="18">
        <v>0</v>
      </c>
      <c r="K46" s="18">
        <v>1</v>
      </c>
      <c r="L46" s="25">
        <v>1</v>
      </c>
      <c r="M46" s="18">
        <v>1</v>
      </c>
      <c r="N46" s="18">
        <v>2</v>
      </c>
      <c r="O46" s="18">
        <v>1</v>
      </c>
      <c r="P46" s="18">
        <v>0</v>
      </c>
      <c r="Q46" s="18">
        <v>0</v>
      </c>
      <c r="R46" s="18">
        <v>0</v>
      </c>
      <c r="S46" s="23"/>
      <c r="T46" s="23"/>
      <c r="U46" s="23"/>
    </row>
    <row r="47" spans="1:21" ht="15.6" customHeight="1" x14ac:dyDescent="0.25">
      <c r="A47" s="26" t="s">
        <v>166</v>
      </c>
      <c r="B47" s="27" t="s">
        <v>167</v>
      </c>
      <c r="C47" s="23" t="s">
        <v>266</v>
      </c>
      <c r="D47" s="23" t="s">
        <v>111</v>
      </c>
      <c r="E47" s="23">
        <v>1</v>
      </c>
      <c r="F47" s="23">
        <v>0</v>
      </c>
      <c r="G47" s="23" t="s">
        <v>63</v>
      </c>
      <c r="H47" s="23" t="s">
        <v>227</v>
      </c>
      <c r="I47" s="23">
        <v>0</v>
      </c>
      <c r="J47" s="23">
        <v>0</v>
      </c>
      <c r="K47" s="23">
        <v>2</v>
      </c>
      <c r="L47" s="23">
        <v>2</v>
      </c>
      <c r="M47" s="23">
        <v>1</v>
      </c>
      <c r="N47" s="23" t="s">
        <v>367</v>
      </c>
      <c r="O47" s="23">
        <v>0</v>
      </c>
      <c r="P47" s="23">
        <v>0</v>
      </c>
      <c r="Q47" s="83">
        <v>2</v>
      </c>
      <c r="R47" s="23">
        <v>1</v>
      </c>
      <c r="S47" s="23"/>
      <c r="T47" s="23"/>
      <c r="U47" s="23"/>
    </row>
    <row r="48" spans="1:21" ht="15.6" customHeight="1" x14ac:dyDescent="0.25">
      <c r="A48" s="26" t="s">
        <v>136</v>
      </c>
      <c r="B48" s="27" t="s">
        <v>137</v>
      </c>
      <c r="C48" s="29" t="s">
        <v>267</v>
      </c>
      <c r="D48" s="23" t="s">
        <v>85</v>
      </c>
      <c r="E48" s="23">
        <v>1</v>
      </c>
      <c r="F48" s="23">
        <v>0</v>
      </c>
      <c r="G48" s="23" t="s">
        <v>268</v>
      </c>
      <c r="H48" s="23" t="s">
        <v>58</v>
      </c>
      <c r="I48" s="23">
        <v>0</v>
      </c>
      <c r="J48" s="23">
        <v>1</v>
      </c>
      <c r="K48" s="23">
        <v>2</v>
      </c>
      <c r="L48" s="23">
        <v>2</v>
      </c>
      <c r="M48" s="23">
        <v>1</v>
      </c>
      <c r="N48" s="23">
        <v>0</v>
      </c>
      <c r="O48" s="23">
        <v>0</v>
      </c>
      <c r="P48" s="23">
        <v>0</v>
      </c>
      <c r="Q48" s="83">
        <v>0</v>
      </c>
      <c r="R48" s="23">
        <v>0</v>
      </c>
      <c r="S48" s="23" t="s">
        <v>269</v>
      </c>
      <c r="T48" s="23"/>
      <c r="U48" s="23"/>
    </row>
    <row r="49" spans="1:21" s="132" customFormat="1" ht="15.6" customHeight="1" x14ac:dyDescent="0.25">
      <c r="A49" s="152" t="s">
        <v>353</v>
      </c>
      <c r="B49" s="153" t="s">
        <v>381</v>
      </c>
      <c r="C49" s="154" t="s">
        <v>380</v>
      </c>
      <c r="D49" s="151" t="s">
        <v>62</v>
      </c>
      <c r="E49" s="151">
        <v>0</v>
      </c>
      <c r="F49" s="151">
        <v>0</v>
      </c>
      <c r="G49" s="151" t="s">
        <v>63</v>
      </c>
      <c r="H49" s="151" t="s">
        <v>58</v>
      </c>
      <c r="I49" s="151">
        <v>1</v>
      </c>
      <c r="J49" s="151">
        <v>1</v>
      </c>
      <c r="K49" s="151">
        <v>1</v>
      </c>
      <c r="L49" s="151">
        <v>1</v>
      </c>
      <c r="M49" s="151">
        <v>1</v>
      </c>
      <c r="N49" s="151">
        <v>0</v>
      </c>
      <c r="O49" s="151">
        <v>1</v>
      </c>
      <c r="P49" s="151">
        <v>0</v>
      </c>
      <c r="Q49" s="151">
        <v>0</v>
      </c>
      <c r="R49" s="151">
        <v>0</v>
      </c>
      <c r="S49" s="151" t="s">
        <v>357</v>
      </c>
      <c r="T49" s="151"/>
      <c r="U49" s="151"/>
    </row>
    <row r="50" spans="1:21" ht="15.6" customHeight="1" x14ac:dyDescent="0.25">
      <c r="A50" s="14" t="s">
        <v>358</v>
      </c>
      <c r="B50" s="24" t="s">
        <v>211</v>
      </c>
      <c r="C50" s="15" t="s">
        <v>210</v>
      </c>
      <c r="D50" s="14" t="s">
        <v>104</v>
      </c>
      <c r="E50" s="14">
        <v>1</v>
      </c>
      <c r="F50" s="14">
        <v>0</v>
      </c>
      <c r="G50" s="14" t="s">
        <v>57</v>
      </c>
      <c r="H50" s="14" t="s">
        <v>58</v>
      </c>
      <c r="I50" s="14">
        <v>1</v>
      </c>
      <c r="J50" s="18">
        <v>0</v>
      </c>
      <c r="K50" s="18">
        <v>1</v>
      </c>
      <c r="L50" s="18">
        <v>3</v>
      </c>
      <c r="M50" s="18">
        <v>1</v>
      </c>
      <c r="N50" s="18">
        <v>4</v>
      </c>
      <c r="O50" s="18">
        <v>1</v>
      </c>
      <c r="P50" s="18">
        <v>0</v>
      </c>
      <c r="Q50" s="84">
        <v>0</v>
      </c>
      <c r="R50" s="18">
        <v>0</v>
      </c>
      <c r="S50" s="23"/>
      <c r="T50" s="23"/>
      <c r="U50" s="23"/>
    </row>
    <row r="51" spans="1:21" ht="15.6" customHeight="1" x14ac:dyDescent="0.25">
      <c r="A51" s="23" t="s">
        <v>46</v>
      </c>
      <c r="B51" s="1" t="s">
        <v>51</v>
      </c>
      <c r="C51" s="23" t="s">
        <v>47</v>
      </c>
      <c r="D51" s="23" t="s">
        <v>50</v>
      </c>
      <c r="E51" s="23">
        <v>0</v>
      </c>
      <c r="F51" s="23">
        <v>0</v>
      </c>
      <c r="G51" s="23" t="s">
        <v>49</v>
      </c>
      <c r="H51" s="23" t="s">
        <v>336</v>
      </c>
      <c r="I51" s="28">
        <v>1</v>
      </c>
      <c r="J51" s="23">
        <v>1</v>
      </c>
      <c r="K51" s="23">
        <v>2</v>
      </c>
      <c r="L51" s="23">
        <v>1</v>
      </c>
      <c r="M51" s="23">
        <v>1</v>
      </c>
      <c r="N51" s="23">
        <v>2</v>
      </c>
      <c r="O51" s="23">
        <v>1</v>
      </c>
      <c r="P51" s="23">
        <v>1</v>
      </c>
      <c r="Q51" s="23">
        <v>1</v>
      </c>
      <c r="R51" s="23">
        <v>0</v>
      </c>
      <c r="S51" s="23" t="s">
        <v>52</v>
      </c>
      <c r="T51" s="23"/>
      <c r="U51" s="23"/>
    </row>
    <row r="52" spans="1:21" ht="15.6" customHeight="1" x14ac:dyDescent="0.25">
      <c r="A52" s="23"/>
      <c r="B52" s="23"/>
      <c r="C52" s="23"/>
      <c r="D52" s="23"/>
      <c r="E52" s="23"/>
      <c r="F52" s="23"/>
      <c r="G52" s="23"/>
      <c r="H52" s="23"/>
      <c r="I52" s="23"/>
      <c r="J52" s="23"/>
      <c r="K52" s="23"/>
      <c r="L52" s="23"/>
      <c r="M52" s="23"/>
      <c r="N52" s="23"/>
      <c r="O52" s="23"/>
      <c r="P52" s="23"/>
      <c r="Q52" s="83"/>
      <c r="R52" s="23"/>
      <c r="S52" s="23"/>
      <c r="T52" s="23"/>
      <c r="U52" s="23"/>
    </row>
    <row r="53" spans="1:21" ht="15.6" customHeight="1" x14ac:dyDescent="0.25">
      <c r="A53" s="23"/>
      <c r="B53" s="23"/>
      <c r="C53" s="23"/>
      <c r="D53" s="23"/>
      <c r="E53" s="23"/>
      <c r="F53" s="23"/>
      <c r="G53" s="23"/>
      <c r="H53" s="23"/>
      <c r="I53" s="23"/>
      <c r="J53" s="23"/>
      <c r="K53" s="23"/>
      <c r="L53" s="23"/>
      <c r="M53" s="23"/>
      <c r="N53" s="23"/>
      <c r="O53" s="23"/>
      <c r="P53" s="23"/>
      <c r="Q53" s="83"/>
      <c r="R53" s="23"/>
      <c r="S53" s="23"/>
      <c r="T53" s="23"/>
      <c r="U53" s="23"/>
    </row>
    <row r="54" spans="1:21" ht="15.6" customHeight="1" x14ac:dyDescent="0.25">
      <c r="A54" s="23"/>
      <c r="B54" s="23"/>
      <c r="C54" s="23"/>
      <c r="D54" s="23"/>
      <c r="E54" s="23">
        <v>-1</v>
      </c>
      <c r="F54" s="23"/>
      <c r="G54" s="23"/>
      <c r="H54" s="23"/>
      <c r="I54" s="23"/>
      <c r="J54" s="23"/>
      <c r="K54" s="23"/>
      <c r="L54" s="23"/>
      <c r="M54" s="23"/>
      <c r="N54" s="23"/>
      <c r="O54" s="23"/>
      <c r="P54" s="23"/>
      <c r="Q54" s="83"/>
      <c r="R54" s="23"/>
      <c r="S54" s="23"/>
      <c r="T54" s="23"/>
      <c r="U54" s="23"/>
    </row>
    <row r="55" spans="1:21" ht="15.6" customHeight="1" x14ac:dyDescent="0.25">
      <c r="P55" s="23"/>
    </row>
    <row r="56" spans="1:21" ht="15.6" customHeight="1" x14ac:dyDescent="0.25">
      <c r="C56" s="6"/>
    </row>
  </sheetData>
  <autoFilter ref="A2:S51"/>
  <sortState ref="A4:R53">
    <sortCondition ref="A4:A53"/>
  </sortState>
  <hyperlinks>
    <hyperlink ref="B3" r:id="rId1"/>
    <hyperlink ref="B5" r:id="rId2"/>
    <hyperlink ref="B8" r:id="rId3"/>
    <hyperlink ref="B51" r:id="rId4"/>
    <hyperlink ref="B28" r:id="rId5"/>
    <hyperlink ref="B22" r:id="rId6"/>
    <hyperlink ref="B25" r:id="rId7"/>
    <hyperlink ref="B39" r:id="rId8"/>
    <hyperlink ref="B11" r:id="rId9"/>
    <hyperlink ref="B15" r:id="rId10"/>
    <hyperlink ref="B34" r:id="rId11"/>
    <hyperlink ref="B20" r:id="rId12"/>
    <hyperlink ref="B6" r:id="rId13"/>
    <hyperlink ref="B44" r:id="rId14"/>
    <hyperlink ref="B42" r:id="rId15"/>
    <hyperlink ref="B24" r:id="rId16"/>
    <hyperlink ref="B27" r:id="rId17"/>
    <hyperlink ref="B40" r:id="rId18"/>
    <hyperlink ref="B31" r:id="rId19"/>
    <hyperlink ref="B19" r:id="rId20"/>
    <hyperlink ref="B37" r:id="rId21"/>
    <hyperlink ref="B46" r:id="rId22"/>
    <hyperlink ref="B41" r:id="rId23"/>
    <hyperlink ref="B50" r:id="rId24"/>
    <hyperlink ref="B43" r:id="rId25"/>
    <hyperlink ref="B9" r:id="rId26"/>
    <hyperlink ref="B12" r:id="rId27"/>
    <hyperlink ref="B14" r:id="rId28"/>
    <hyperlink ref="B7" r:id="rId29"/>
    <hyperlink ref="B10" r:id="rId30"/>
    <hyperlink ref="B13" r:id="rId31"/>
    <hyperlink ref="B18" r:id="rId32"/>
    <hyperlink ref="B21" r:id="rId33"/>
    <hyperlink ref="B26" r:id="rId34"/>
    <hyperlink ref="B30" r:id="rId35"/>
    <hyperlink ref="B32" r:id="rId36"/>
    <hyperlink ref="B33" r:id="rId37"/>
    <hyperlink ref="B35" r:id="rId38"/>
    <hyperlink ref="B38" r:id="rId39"/>
    <hyperlink ref="B45" r:id="rId40"/>
    <hyperlink ref="B47" r:id="rId41"/>
    <hyperlink ref="B48" r:id="rId42"/>
    <hyperlink ref="B29" r:id="rId43"/>
    <hyperlink ref="B17" r:id="rId44"/>
    <hyperlink ref="B16" r:id="rId45"/>
    <hyperlink ref="B49" r:id="rId46"/>
    <hyperlink ref="B4" r:id="rId47"/>
    <hyperlink ref="B36" r:id="rId48"/>
  </hyperlinks>
  <pageMargins left="0.7" right="0.7" top="0.75" bottom="0.75" header="0.3" footer="0.3"/>
  <pageSetup paperSize="9" orientation="portrait" verticalDpi="0" r:id="rId49"/>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opLeftCell="A12" workbookViewId="0">
      <selection activeCell="A24" sqref="A24"/>
    </sheetView>
  </sheetViews>
  <sheetFormatPr defaultColWidth="8.85546875" defaultRowHeight="15" x14ac:dyDescent="0.25"/>
  <cols>
    <col min="1" max="1" width="17.140625" style="16" customWidth="1"/>
    <col min="2" max="2" width="14.7109375" style="41" customWidth="1"/>
    <col min="3" max="3" width="38.140625" style="2" customWidth="1"/>
    <col min="4" max="4" width="42.42578125" style="2" customWidth="1"/>
    <col min="5" max="5" width="41.7109375" style="2" customWidth="1"/>
    <col min="6" max="6" width="35" style="2" customWidth="1"/>
    <col min="7" max="7" width="25.85546875" style="2" customWidth="1"/>
  </cols>
  <sheetData>
    <row r="1" spans="1:7" x14ac:dyDescent="0.25">
      <c r="A1" s="42" t="str">
        <f>'source details'!$A$2</f>
        <v>Initiative</v>
      </c>
      <c r="B1" s="43" t="s">
        <v>294</v>
      </c>
      <c r="C1" s="44"/>
      <c r="D1" s="44"/>
      <c r="E1" s="44"/>
      <c r="F1" s="5"/>
      <c r="G1" s="5"/>
    </row>
    <row r="2" spans="1:7" x14ac:dyDescent="0.25">
      <c r="A2" s="42" t="str">
        <f>'source details'!$B$2</f>
        <v>Url</v>
      </c>
      <c r="B2" s="43" t="s">
        <v>295</v>
      </c>
      <c r="C2" s="44"/>
      <c r="D2" s="44"/>
      <c r="E2" s="44"/>
      <c r="F2" s="5"/>
      <c r="G2" s="5"/>
    </row>
    <row r="3" spans="1:7" x14ac:dyDescent="0.25">
      <c r="A3" s="42" t="str">
        <f>'source details'!$C$2</f>
        <v>Sum</v>
      </c>
      <c r="B3" s="43" t="s">
        <v>271</v>
      </c>
      <c r="C3" s="44"/>
      <c r="D3" s="44"/>
      <c r="E3" s="44"/>
      <c r="F3" s="5"/>
      <c r="G3" s="5"/>
    </row>
    <row r="4" spans="1:7" x14ac:dyDescent="0.25">
      <c r="A4" s="42" t="str">
        <f>'source details'!$D$2</f>
        <v>Field</v>
      </c>
      <c r="B4" s="43" t="s">
        <v>272</v>
      </c>
      <c r="C4" s="44"/>
      <c r="D4" s="44"/>
      <c r="E4" s="44"/>
      <c r="F4" s="5"/>
      <c r="G4" s="5"/>
    </row>
    <row r="5" spans="1:7" s="36" customFormat="1" x14ac:dyDescent="0.25">
      <c r="A5" s="52" t="str">
        <f>'source details'!$E$2</f>
        <v>Rights?</v>
      </c>
      <c r="B5" s="49" t="s">
        <v>273</v>
      </c>
      <c r="C5" s="50"/>
      <c r="D5" s="50"/>
      <c r="E5" s="51"/>
      <c r="F5" s="40"/>
      <c r="G5" s="40"/>
    </row>
    <row r="6" spans="1:7" x14ac:dyDescent="0.25">
      <c r="A6" s="44" t="s">
        <v>318</v>
      </c>
      <c r="B6" s="44" t="s">
        <v>317</v>
      </c>
      <c r="C6" s="44"/>
      <c r="D6" s="44"/>
      <c r="E6" s="44"/>
      <c r="F6" s="5"/>
      <c r="G6"/>
    </row>
    <row r="7" spans="1:7" s="36" customFormat="1" x14ac:dyDescent="0.25">
      <c r="A7" s="52" t="str">
        <f>'source details'!$F$2</f>
        <v>Pub Op?</v>
      </c>
      <c r="B7" s="49" t="s">
        <v>307</v>
      </c>
      <c r="C7" s="50"/>
      <c r="D7" s="50"/>
      <c r="E7" s="51"/>
      <c r="F7" s="40"/>
      <c r="G7" s="40"/>
    </row>
    <row r="8" spans="1:7" x14ac:dyDescent="0.25">
      <c r="A8" s="44" t="s">
        <v>318</v>
      </c>
      <c r="B8" s="44" t="s">
        <v>317</v>
      </c>
      <c r="C8" s="44"/>
      <c r="D8" s="44"/>
      <c r="E8" s="44"/>
      <c r="F8" s="5"/>
      <c r="G8"/>
    </row>
    <row r="9" spans="1:7" s="36" customFormat="1" x14ac:dyDescent="0.25">
      <c r="A9" s="42" t="str">
        <f>'source details'!$G$2</f>
        <v>HQ</v>
      </c>
      <c r="B9" s="45" t="s">
        <v>284</v>
      </c>
      <c r="C9" s="46"/>
      <c r="D9" s="46"/>
      <c r="E9" s="46"/>
      <c r="F9" s="40"/>
      <c r="G9" s="40"/>
    </row>
    <row r="10" spans="1:7" s="36" customFormat="1" x14ac:dyDescent="0.25">
      <c r="A10" s="42" t="str">
        <f>'source details'!$H$2</f>
        <v>Geo-Scope</v>
      </c>
      <c r="B10" s="45" t="s">
        <v>274</v>
      </c>
      <c r="C10" s="46"/>
      <c r="D10" s="46"/>
      <c r="E10" s="46"/>
      <c r="F10" s="40"/>
      <c r="G10" s="40"/>
    </row>
    <row r="11" spans="1:7" s="36" customFormat="1" x14ac:dyDescent="0.25">
      <c r="A11" s="52" t="str">
        <f>'source details'!$I$2</f>
        <v>Local Part`s</v>
      </c>
      <c r="B11" s="49" t="s">
        <v>285</v>
      </c>
      <c r="C11" s="50"/>
      <c r="D11" s="50"/>
      <c r="E11" s="50"/>
      <c r="F11" s="40"/>
      <c r="G11" s="40"/>
    </row>
    <row r="12" spans="1:7" ht="30" x14ac:dyDescent="0.25">
      <c r="A12" s="44" t="s">
        <v>318</v>
      </c>
      <c r="B12" s="44" t="s">
        <v>317</v>
      </c>
      <c r="C12" s="44" t="s">
        <v>319</v>
      </c>
      <c r="D12" s="44"/>
      <c r="E12" s="44"/>
      <c r="F12" s="5"/>
      <c r="G12"/>
    </row>
    <row r="13" spans="1:7" s="36" customFormat="1" x14ac:dyDescent="0.25">
      <c r="A13" s="52" t="str">
        <f>'source details'!$J$2</f>
        <v>Index?</v>
      </c>
      <c r="B13" s="49" t="s">
        <v>286</v>
      </c>
      <c r="C13" s="50"/>
      <c r="D13" s="50"/>
      <c r="E13" s="51"/>
      <c r="F13" s="40"/>
      <c r="G13" s="40"/>
    </row>
    <row r="14" spans="1:7" x14ac:dyDescent="0.25">
      <c r="A14" s="44" t="s">
        <v>318</v>
      </c>
      <c r="B14" s="44" t="s">
        <v>317</v>
      </c>
      <c r="C14" s="44"/>
      <c r="D14" s="44"/>
      <c r="E14" s="44"/>
      <c r="F14" s="5"/>
      <c r="G14"/>
    </row>
    <row r="15" spans="1:7" s="36" customFormat="1" x14ac:dyDescent="0.25">
      <c r="A15" s="52" t="str">
        <f>'source details'!$K$2</f>
        <v>Obj/Subj Data</v>
      </c>
      <c r="B15" s="49" t="s">
        <v>287</v>
      </c>
      <c r="C15" s="50"/>
      <c r="D15" s="53"/>
      <c r="E15" s="50"/>
      <c r="F15" s="48"/>
      <c r="G15" s="40"/>
    </row>
    <row r="16" spans="1:7" ht="30" x14ac:dyDescent="0.25">
      <c r="A16" s="55"/>
      <c r="B16" s="44" t="s">
        <v>320</v>
      </c>
      <c r="C16" s="44" t="s">
        <v>321</v>
      </c>
      <c r="D16" s="44" t="s">
        <v>316</v>
      </c>
      <c r="E16" s="44"/>
      <c r="F16" s="5"/>
      <c r="G16"/>
    </row>
    <row r="17" spans="1:7" s="36" customFormat="1" x14ac:dyDescent="0.25">
      <c r="A17" s="52" t="str">
        <f>'source details'!$L$2</f>
        <v>Quant/Qual Source</v>
      </c>
      <c r="B17" s="49" t="s">
        <v>288</v>
      </c>
      <c r="C17" s="50"/>
      <c r="D17" s="50"/>
      <c r="E17" s="50"/>
      <c r="F17" s="48"/>
      <c r="G17" s="40"/>
    </row>
    <row r="18" spans="1:7" ht="30" x14ac:dyDescent="0.25">
      <c r="A18" s="55"/>
      <c r="B18" s="44" t="s">
        <v>323</v>
      </c>
      <c r="C18" s="44" t="s">
        <v>322</v>
      </c>
      <c r="D18" s="44" t="s">
        <v>316</v>
      </c>
      <c r="E18" s="44"/>
      <c r="F18" s="5"/>
      <c r="G18"/>
    </row>
    <row r="19" spans="1:7" s="36" customFormat="1" x14ac:dyDescent="0.25">
      <c r="A19" s="52" t="str">
        <f>'source details'!$M$2</f>
        <v>Multiple Indicators</v>
      </c>
      <c r="B19" s="49" t="s">
        <v>289</v>
      </c>
      <c r="C19" s="50"/>
      <c r="D19" s="50"/>
      <c r="E19" s="51"/>
      <c r="F19" s="40"/>
      <c r="G19" s="40"/>
    </row>
    <row r="20" spans="1:7" x14ac:dyDescent="0.25">
      <c r="A20" s="44" t="s">
        <v>318</v>
      </c>
      <c r="B20" s="44" t="s">
        <v>317</v>
      </c>
      <c r="C20" s="44"/>
      <c r="D20" s="44"/>
      <c r="E20" s="44"/>
      <c r="F20" s="5"/>
      <c r="G20"/>
    </row>
    <row r="21" spans="1:7" s="36" customFormat="1" x14ac:dyDescent="0.25">
      <c r="A21" s="52" t="str">
        <f>'source details'!$N$2</f>
        <v>Const' Eng't</v>
      </c>
      <c r="B21" s="49" t="s">
        <v>378</v>
      </c>
      <c r="C21" s="50"/>
      <c r="D21" s="50"/>
      <c r="E21" s="50"/>
      <c r="F21" s="48"/>
      <c r="G21" s="48"/>
    </row>
    <row r="22" spans="1:7" ht="30" x14ac:dyDescent="0.25">
      <c r="A22" s="44" t="s">
        <v>318</v>
      </c>
      <c r="B22" s="44" t="s">
        <v>364</v>
      </c>
      <c r="C22" s="44" t="s">
        <v>365</v>
      </c>
      <c r="D22" s="44" t="s">
        <v>366</v>
      </c>
      <c r="E22" s="44" t="s">
        <v>324</v>
      </c>
      <c r="F22" s="5"/>
      <c r="G22"/>
    </row>
    <row r="23" spans="1:7" s="36" customFormat="1" x14ac:dyDescent="0.25">
      <c r="A23" s="52" t="str">
        <f>'source details'!$O$2</f>
        <v>Data Downlod</v>
      </c>
      <c r="B23" s="49" t="s">
        <v>290</v>
      </c>
      <c r="C23" s="50"/>
      <c r="D23" s="50"/>
      <c r="E23" s="50"/>
      <c r="F23" s="48"/>
      <c r="G23" s="40"/>
    </row>
    <row r="24" spans="1:7" x14ac:dyDescent="0.25">
      <c r="A24" s="44" t="s">
        <v>318</v>
      </c>
      <c r="B24" s="44" t="s">
        <v>389</v>
      </c>
      <c r="C24" s="44" t="s">
        <v>390</v>
      </c>
      <c r="D24" s="44" t="s">
        <v>391</v>
      </c>
      <c r="E24" s="44"/>
      <c r="F24" s="5"/>
      <c r="G24"/>
    </row>
    <row r="25" spans="1:7" s="36" customFormat="1" x14ac:dyDescent="0.25">
      <c r="A25" s="52" t="str">
        <f>'source details'!$P$2</f>
        <v>Onilne Analysis</v>
      </c>
      <c r="B25" s="49" t="s">
        <v>291</v>
      </c>
      <c r="C25" s="50"/>
      <c r="D25" s="50"/>
      <c r="E25" s="50"/>
      <c r="F25" s="48"/>
      <c r="G25" s="40"/>
    </row>
    <row r="26" spans="1:7" ht="45" x14ac:dyDescent="0.25">
      <c r="A26" s="44" t="s">
        <v>325</v>
      </c>
      <c r="B26" s="44" t="s">
        <v>386</v>
      </c>
      <c r="C26" s="44" t="s">
        <v>387</v>
      </c>
      <c r="D26" s="44" t="s">
        <v>388</v>
      </c>
      <c r="E26" s="5"/>
      <c r="F26" s="5"/>
      <c r="G26"/>
    </row>
    <row r="27" spans="1:7" s="36" customFormat="1" x14ac:dyDescent="0.25">
      <c r="A27" s="52" t="str">
        <f>'source details'!$Q$2</f>
        <v>Social Media</v>
      </c>
      <c r="B27" s="49" t="s">
        <v>292</v>
      </c>
      <c r="C27" s="51"/>
      <c r="D27" s="50"/>
      <c r="E27" s="50"/>
      <c r="F27" s="48"/>
      <c r="G27" s="48"/>
    </row>
    <row r="28" spans="1:7" ht="45" x14ac:dyDescent="0.25">
      <c r="A28" s="44" t="s">
        <v>325</v>
      </c>
      <c r="B28" s="44" t="s">
        <v>329</v>
      </c>
      <c r="C28" s="44" t="s">
        <v>328</v>
      </c>
      <c r="D28" s="44" t="s">
        <v>327</v>
      </c>
      <c r="E28" s="44" t="s">
        <v>326</v>
      </c>
      <c r="F28"/>
      <c r="G28"/>
    </row>
    <row r="29" spans="1:7" s="36" customFormat="1" x14ac:dyDescent="0.25">
      <c r="A29" s="52" t="str">
        <f>'source details'!$R$2</f>
        <v>Digital Eng't</v>
      </c>
      <c r="B29" s="49" t="s">
        <v>293</v>
      </c>
      <c r="C29" s="50"/>
      <c r="D29" s="50"/>
      <c r="E29" s="50"/>
      <c r="F29" s="48"/>
      <c r="G29" s="40"/>
    </row>
    <row r="30" spans="1:7" ht="63.75" x14ac:dyDescent="0.25">
      <c r="A30" s="44" t="s">
        <v>325</v>
      </c>
      <c r="B30" s="47" t="s">
        <v>330</v>
      </c>
      <c r="C30" s="47" t="s">
        <v>331</v>
      </c>
      <c r="D30" s="47" t="s">
        <v>332</v>
      </c>
      <c r="G30"/>
    </row>
    <row r="34" spans="6:6" x14ac:dyDescent="0.25">
      <c r="F34" s="28"/>
    </row>
    <row r="35" spans="6:6" x14ac:dyDescent="0.25">
      <c r="F35" s="28"/>
    </row>
    <row r="36" spans="6:6" x14ac:dyDescent="0.25">
      <c r="F36" s="28"/>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tabSelected="1" workbookViewId="0">
      <selection activeCell="I33" sqref="I33"/>
    </sheetView>
  </sheetViews>
  <sheetFormatPr defaultColWidth="8.85546875" defaultRowHeight="15" x14ac:dyDescent="0.25"/>
  <cols>
    <col min="2" max="2" width="14" customWidth="1"/>
    <col min="3" max="3" width="12.28515625" customWidth="1"/>
    <col min="4" max="4" width="11.7109375" customWidth="1"/>
    <col min="8" max="8" width="13.85546875" customWidth="1"/>
  </cols>
  <sheetData>
    <row r="1" spans="1:16" ht="13.5" customHeight="1" x14ac:dyDescent="0.25">
      <c r="A1" s="133" t="s">
        <v>370</v>
      </c>
      <c r="B1" s="133"/>
      <c r="C1">
        <v>49</v>
      </c>
    </row>
    <row r="2" spans="1:16" s="132" customFormat="1" ht="13.5" customHeight="1" x14ac:dyDescent="0.25">
      <c r="A2" s="131"/>
      <c r="B2" s="131"/>
    </row>
    <row r="3" spans="1:16" ht="21" x14ac:dyDescent="0.35">
      <c r="A3" s="100" t="s">
        <v>368</v>
      </c>
      <c r="C3" s="39"/>
      <c r="D3" s="39"/>
      <c r="E3" s="39"/>
      <c r="F3" s="39"/>
    </row>
    <row r="4" spans="1:16" x14ac:dyDescent="0.25">
      <c r="B4" s="149" t="s">
        <v>359</v>
      </c>
      <c r="C4" s="150"/>
    </row>
    <row r="5" spans="1:16" s="2" customFormat="1" ht="45" customHeight="1" x14ac:dyDescent="0.25">
      <c r="A5" s="129" t="s">
        <v>360</v>
      </c>
      <c r="B5" s="130"/>
      <c r="C5" s="130"/>
      <c r="D5" s="144" t="s">
        <v>361</v>
      </c>
      <c r="E5" s="145"/>
      <c r="F5" s="146" t="s">
        <v>348</v>
      </c>
      <c r="G5" s="147"/>
      <c r="H5" s="146" t="s">
        <v>363</v>
      </c>
      <c r="I5" s="147"/>
      <c r="J5" s="146" t="s">
        <v>377</v>
      </c>
      <c r="K5" s="147"/>
      <c r="L5" s="148" t="s">
        <v>362</v>
      </c>
      <c r="M5" s="147"/>
    </row>
    <row r="6" spans="1:16" x14ac:dyDescent="0.25">
      <c r="B6" s="138" t="s">
        <v>351</v>
      </c>
      <c r="C6" s="139"/>
      <c r="D6" s="67">
        <f>COUNTIF(download,"&gt;1")</f>
        <v>5</v>
      </c>
      <c r="E6" s="70">
        <f>D6/totalsources</f>
        <v>0.10204081632653061</v>
      </c>
      <c r="F6" s="81">
        <f>COUNTIFS(download,"&gt;1",rights,"1")</f>
        <v>2</v>
      </c>
      <c r="G6" s="70">
        <f>F6/25</f>
        <v>0.08</v>
      </c>
      <c r="H6" s="81">
        <f>COUNTIFS(download,"&gt;1",localpart,"1")</f>
        <v>1</v>
      </c>
      <c r="I6" s="71">
        <f>H6/25</f>
        <v>0.04</v>
      </c>
      <c r="J6" s="81">
        <f>COUNTIFS(download,"&gt;1",localeng,"&gt;0")</f>
        <v>1</v>
      </c>
      <c r="K6" s="70">
        <f>J6/24</f>
        <v>4.1666666666666664E-2</v>
      </c>
      <c r="L6" s="81">
        <f>COUNTIFS(download,"&gt;1",index,"1")</f>
        <v>3</v>
      </c>
      <c r="M6" s="70">
        <f>L6/33</f>
        <v>9.0909090909090912E-2</v>
      </c>
    </row>
    <row r="7" spans="1:16" s="74" customFormat="1" x14ac:dyDescent="0.25">
      <c r="B7" s="140" t="s">
        <v>350</v>
      </c>
      <c r="C7" s="141"/>
      <c r="D7" s="67">
        <f>COUNTIF(download,"1")</f>
        <v>27</v>
      </c>
      <c r="E7" s="78">
        <f t="shared" ref="E7:E13" si="0">D7/totalsources</f>
        <v>0.55102040816326525</v>
      </c>
      <c r="F7" s="81">
        <f>COUNTIFS(download,"1",rights,"1")</f>
        <v>14</v>
      </c>
      <c r="G7" s="78">
        <f>F7/25</f>
        <v>0.56000000000000005</v>
      </c>
      <c r="H7" s="81">
        <f>COUNTIFS(download,"1",localpart,"1")</f>
        <v>14</v>
      </c>
      <c r="I7" s="80">
        <f>H7/25</f>
        <v>0.56000000000000005</v>
      </c>
      <c r="J7" s="81">
        <f>COUNTIFS(download,"1",localeng,"&gt;0")</f>
        <v>8</v>
      </c>
      <c r="K7" s="78">
        <f>J7/24</f>
        <v>0.33333333333333331</v>
      </c>
      <c r="L7" s="81">
        <f>COUNTIFS(download,"1",index,"1")</f>
        <v>19</v>
      </c>
      <c r="M7" s="78">
        <f>L7/33</f>
        <v>0.5757575757575758</v>
      </c>
    </row>
    <row r="8" spans="1:16" x14ac:dyDescent="0.25">
      <c r="B8" s="138" t="s">
        <v>343</v>
      </c>
      <c r="C8" s="139"/>
      <c r="D8" s="65">
        <f>COUNTIF(onlineanalysis,"&gt;0")</f>
        <v>19</v>
      </c>
      <c r="E8" s="72">
        <f t="shared" si="0"/>
        <v>0.38775510204081631</v>
      </c>
      <c r="F8" s="69">
        <f>COUNTIFS(onlineanalysis,"&gt;0",rights,"1")</f>
        <v>6</v>
      </c>
      <c r="G8" s="72">
        <f t="shared" ref="G8:G13" si="1">F8/25</f>
        <v>0.24</v>
      </c>
      <c r="H8" s="69">
        <f>COUNTIFS(onlineanalysis,"&gt;0",localpart,"1")</f>
        <v>9</v>
      </c>
      <c r="I8" s="66">
        <f t="shared" ref="I8:I13" si="2">H8/25</f>
        <v>0.36</v>
      </c>
      <c r="J8" s="69">
        <f>COUNTIFS(onlineanalysis,"&gt;0",localeng,"1")</f>
        <v>2</v>
      </c>
      <c r="K8" s="72">
        <f t="shared" ref="K8:K13" si="3">J8/24</f>
        <v>8.3333333333333329E-2</v>
      </c>
      <c r="L8" s="69">
        <f>COUNTIFS(onlineanalysis,"&gt;0",index,"1")</f>
        <v>15</v>
      </c>
      <c r="M8" s="72">
        <f t="shared" ref="M8:M13" si="4">L8/33</f>
        <v>0.45454545454545453</v>
      </c>
    </row>
    <row r="9" spans="1:16" s="74" customFormat="1" x14ac:dyDescent="0.25">
      <c r="B9" s="140" t="s">
        <v>344</v>
      </c>
      <c r="C9" s="141"/>
      <c r="D9" s="67">
        <f>COUNTIF(onlineanalysis,"&gt;1")</f>
        <v>7</v>
      </c>
      <c r="E9" s="78">
        <f t="shared" si="0"/>
        <v>0.14285714285714285</v>
      </c>
      <c r="F9" s="81">
        <f>COUNTIFS(onlineanalysis,"&gt;1",rights,"1")</f>
        <v>4</v>
      </c>
      <c r="G9" s="78">
        <f t="shared" si="1"/>
        <v>0.16</v>
      </c>
      <c r="H9" s="81">
        <f>COUNTIFS(onlineanalysis,"&gt;1",localpart,"1")</f>
        <v>4</v>
      </c>
      <c r="I9" s="80">
        <f t="shared" si="2"/>
        <v>0.16</v>
      </c>
      <c r="J9" s="81">
        <f>COUNTIFS(onlineanalysis,"&gt;1",localeng,"1")</f>
        <v>1</v>
      </c>
      <c r="K9" s="78">
        <f t="shared" si="3"/>
        <v>4.1666666666666664E-2</v>
      </c>
      <c r="L9" s="81">
        <f>COUNTIFS(onlineanalysis,"&gt;1",index,"1")</f>
        <v>4</v>
      </c>
      <c r="M9" s="78">
        <f t="shared" si="4"/>
        <v>0.12121212121212122</v>
      </c>
    </row>
    <row r="10" spans="1:16" x14ac:dyDescent="0.25">
      <c r="B10" s="138" t="s">
        <v>345</v>
      </c>
      <c r="C10" s="139"/>
      <c r="D10" s="88">
        <f>(COUNTIF(socialmedia, "&gt;0"))</f>
        <v>21</v>
      </c>
      <c r="E10" s="72">
        <f t="shared" si="0"/>
        <v>0.42857142857142855</v>
      </c>
      <c r="F10" s="73">
        <f>(COUNTIFS(socialmedia, "&gt;1", rights,"1"))</f>
        <v>7</v>
      </c>
      <c r="G10" s="72">
        <f t="shared" si="1"/>
        <v>0.28000000000000003</v>
      </c>
      <c r="H10" s="73">
        <f>(COUNTIFS(socialmedia, "&gt;1", localpart,"&gt;0"))</f>
        <v>5</v>
      </c>
      <c r="I10" s="66">
        <f t="shared" si="2"/>
        <v>0.2</v>
      </c>
      <c r="J10" s="73">
        <f>(COUNTIFS(socialmedia, "&gt;1", localeng,"&gt;0"))</f>
        <v>3</v>
      </c>
      <c r="K10" s="72">
        <f t="shared" si="3"/>
        <v>0.125</v>
      </c>
      <c r="L10" s="73">
        <f>(COUNTIFS(socialmedia, "&gt;1", index,"&gt;0"))</f>
        <v>10</v>
      </c>
      <c r="M10" s="72">
        <f t="shared" si="4"/>
        <v>0.30303030303030304</v>
      </c>
    </row>
    <row r="11" spans="1:16" s="74" customFormat="1" x14ac:dyDescent="0.25">
      <c r="B11" s="140" t="s">
        <v>346</v>
      </c>
      <c r="C11" s="141"/>
      <c r="D11" s="89">
        <f>(COUNTIF(socialmedia, "&gt;2"))</f>
        <v>5</v>
      </c>
      <c r="E11" s="78">
        <f t="shared" si="0"/>
        <v>0.10204081632653061</v>
      </c>
      <c r="F11" s="79">
        <f>(COUNTIFS(socialmedia, "&gt;2", rights,"1"))</f>
        <v>2</v>
      </c>
      <c r="G11" s="78">
        <f>F11/25</f>
        <v>0.08</v>
      </c>
      <c r="H11" s="79">
        <f>(COUNTIFS(socialmedia, "&gt;2", localpart,"&gt;0"))</f>
        <v>4</v>
      </c>
      <c r="I11" s="80">
        <f>H11/25</f>
        <v>0.16</v>
      </c>
      <c r="J11" s="79">
        <f>(COUNTIFS(socialmedia, "&gt;2", localeng,"&gt;1"))</f>
        <v>1</v>
      </c>
      <c r="K11" s="78">
        <f>J11/24</f>
        <v>4.1666666666666664E-2</v>
      </c>
      <c r="L11" s="79">
        <f>(COUNTIFS(socialmedia, "&gt;2", index,"&gt;1"))</f>
        <v>0</v>
      </c>
      <c r="M11" s="78">
        <f>L11/33</f>
        <v>0</v>
      </c>
    </row>
    <row r="12" spans="1:16" x14ac:dyDescent="0.25">
      <c r="B12" s="138" t="s">
        <v>347</v>
      </c>
      <c r="C12" s="139"/>
      <c r="D12" s="88">
        <f>(COUNTIF(digitaleng, "&gt;0"))</f>
        <v>17</v>
      </c>
      <c r="E12" s="72">
        <f t="shared" si="0"/>
        <v>0.34693877551020408</v>
      </c>
      <c r="F12" s="73">
        <f>(COUNTIFS(digitaleng, "&gt;1", rights,"&gt;0"))</f>
        <v>2</v>
      </c>
      <c r="G12" s="72">
        <f t="shared" si="1"/>
        <v>0.08</v>
      </c>
      <c r="H12" s="73">
        <f>(COUNTIFS(digitaleng, "&gt;1", localpart,"&gt;0"))</f>
        <v>4</v>
      </c>
      <c r="I12" s="66">
        <f t="shared" si="2"/>
        <v>0.16</v>
      </c>
      <c r="J12" s="73">
        <f>(COUNTIFS(digitaleng, "&gt;1", localeng,"&gt;0"))</f>
        <v>3</v>
      </c>
      <c r="K12" s="72">
        <f t="shared" si="3"/>
        <v>0.125</v>
      </c>
      <c r="L12" s="73">
        <f>(COUNTIFS(digitaleng, "&gt;1", index,"&gt;0"))</f>
        <v>3</v>
      </c>
      <c r="M12" s="72">
        <f t="shared" si="4"/>
        <v>9.0909090909090912E-2</v>
      </c>
    </row>
    <row r="13" spans="1:16" s="74" customFormat="1" x14ac:dyDescent="0.25">
      <c r="B13" s="140" t="s">
        <v>349</v>
      </c>
      <c r="C13" s="141"/>
      <c r="D13" s="90">
        <f>(COUNTIF(digitaleng, "&gt;2"))</f>
        <v>1</v>
      </c>
      <c r="E13" s="75">
        <f t="shared" si="0"/>
        <v>2.0408163265306121E-2</v>
      </c>
      <c r="F13" s="76">
        <f>(COUNTIFS(digitaleng, "&gt;1", rights,"1"))</f>
        <v>2</v>
      </c>
      <c r="G13" s="75">
        <f t="shared" si="1"/>
        <v>0.08</v>
      </c>
      <c r="H13" s="76">
        <f>(COUNTIFS(digitaleng, "&gt;1", localpart,"&gt;0"))</f>
        <v>4</v>
      </c>
      <c r="I13" s="77">
        <f t="shared" si="2"/>
        <v>0.16</v>
      </c>
      <c r="J13" s="76">
        <f>(COUNTIFS(digitaleng, "&gt;1", localeng,"&gt;2"))</f>
        <v>3</v>
      </c>
      <c r="K13" s="75">
        <f t="shared" si="3"/>
        <v>0.125</v>
      </c>
      <c r="L13" s="76">
        <f>(COUNTIFS(digitaleng, "&gt;1", index,"&gt;2"))</f>
        <v>0</v>
      </c>
      <c r="M13" s="75">
        <f t="shared" si="4"/>
        <v>0</v>
      </c>
    </row>
    <row r="14" spans="1:16" s="95" customFormat="1" x14ac:dyDescent="0.25">
      <c r="C14" s="96"/>
      <c r="D14" s="97"/>
      <c r="E14" s="98"/>
      <c r="F14" s="99"/>
      <c r="G14" s="98"/>
      <c r="H14" s="99"/>
      <c r="I14" s="98"/>
      <c r="J14" s="99"/>
      <c r="K14" s="98"/>
      <c r="L14" s="99"/>
      <c r="M14" s="98"/>
    </row>
    <row r="15" spans="1:16" ht="21.75" thickBot="1" x14ac:dyDescent="0.4">
      <c r="A15" s="112" t="s">
        <v>369</v>
      </c>
      <c r="B15" s="87"/>
      <c r="C15" s="87"/>
      <c r="D15" s="87"/>
      <c r="E15" s="68"/>
      <c r="I15" s="68"/>
      <c r="J15" s="64"/>
      <c r="K15" s="68"/>
    </row>
    <row r="16" spans="1:16" ht="45" x14ac:dyDescent="0.25">
      <c r="A16" s="101" t="s">
        <v>275</v>
      </c>
      <c r="B16" s="113" t="s">
        <v>308</v>
      </c>
      <c r="C16" s="117" t="s">
        <v>278</v>
      </c>
      <c r="D16" s="118" t="s">
        <v>279</v>
      </c>
      <c r="E16" s="118" t="s">
        <v>297</v>
      </c>
      <c r="F16" s="118" t="s">
        <v>296</v>
      </c>
      <c r="G16" s="118" t="s">
        <v>280</v>
      </c>
      <c r="H16" s="118" t="s">
        <v>376</v>
      </c>
      <c r="I16" s="118" t="s">
        <v>76</v>
      </c>
      <c r="J16" s="118" t="s">
        <v>281</v>
      </c>
      <c r="K16" s="118" t="s">
        <v>30</v>
      </c>
      <c r="L16" s="119" t="s">
        <v>340</v>
      </c>
      <c r="M16" s="118" t="s">
        <v>282</v>
      </c>
      <c r="N16" s="119" t="s">
        <v>339</v>
      </c>
      <c r="O16" s="120"/>
      <c r="P16" s="121"/>
    </row>
    <row r="17" spans="1:16" x14ac:dyDescent="0.25">
      <c r="A17" s="103" t="s">
        <v>334</v>
      </c>
      <c r="B17" s="104" t="s">
        <v>334</v>
      </c>
      <c r="C17" s="142" t="s">
        <v>334</v>
      </c>
      <c r="D17" s="143"/>
      <c r="E17" s="143"/>
      <c r="F17" s="143"/>
      <c r="G17" s="143"/>
      <c r="H17" s="143"/>
      <c r="I17" s="143"/>
      <c r="J17" s="143"/>
      <c r="K17" s="143"/>
      <c r="L17" s="143"/>
      <c r="M17" s="143"/>
      <c r="N17" s="143"/>
      <c r="O17" s="87"/>
      <c r="P17" s="122"/>
    </row>
    <row r="18" spans="1:16" x14ac:dyDescent="0.25">
      <c r="A18" s="107">
        <f>COUNTIF('source details'!E:E,"1")</f>
        <v>26</v>
      </c>
      <c r="B18" s="114">
        <f>COUNTIF('source details'!F:F,"1")/totalsources</f>
        <v>0.16326530612244897</v>
      </c>
      <c r="C18" s="123">
        <f>COUNTIF('source details'!I:I,"1")</f>
        <v>19</v>
      </c>
      <c r="D18" s="91">
        <f>COUNTIF('source details'!J:J,"1")</f>
        <v>34</v>
      </c>
      <c r="E18" s="91">
        <f>COUNTIF('source details'!K:K,"1")</f>
        <v>8</v>
      </c>
      <c r="F18" s="91">
        <f>COUNTIF('source details'!L:L,"1")</f>
        <v>11</v>
      </c>
      <c r="G18" s="91">
        <f>45-COUNTIF('source details'!M:M, "0")</f>
        <v>40</v>
      </c>
      <c r="H18" s="91">
        <f>COUNTIF(download, "&gt;0")</f>
        <v>32</v>
      </c>
      <c r="I18" s="91">
        <f>COUNTIF(download, "&gt;0")</f>
        <v>32</v>
      </c>
      <c r="J18" s="91">
        <f>COUNTIF(onlineanalysis, "&gt;0")</f>
        <v>19</v>
      </c>
      <c r="K18" s="91">
        <f>COUNTIF(socialmedia, "&gt;0")</f>
        <v>21</v>
      </c>
      <c r="L18" s="91">
        <f>COUNTIF(socialmedia, "&gt;2")</f>
        <v>5</v>
      </c>
      <c r="M18" s="91">
        <f>COUNTIF(digitaleng, "&gt;0")</f>
        <v>17</v>
      </c>
      <c r="N18" s="91">
        <f>COUNTIF(digitaleng, "&gt;2")</f>
        <v>1</v>
      </c>
      <c r="O18" s="87"/>
      <c r="P18" s="122"/>
    </row>
    <row r="19" spans="1:16" x14ac:dyDescent="0.25">
      <c r="A19" s="115">
        <f>COUNTIF('source details'!E:E,"1")/totalsources</f>
        <v>0.53061224489795922</v>
      </c>
      <c r="B19" s="109"/>
      <c r="C19" s="124">
        <f t="shared" ref="C19:N19" si="5">C18/totalsources</f>
        <v>0.38775510204081631</v>
      </c>
      <c r="D19" s="93">
        <f t="shared" si="5"/>
        <v>0.69387755102040816</v>
      </c>
      <c r="E19" s="93">
        <f t="shared" si="5"/>
        <v>0.16326530612244897</v>
      </c>
      <c r="F19" s="93">
        <f t="shared" si="5"/>
        <v>0.22448979591836735</v>
      </c>
      <c r="G19" s="93">
        <f t="shared" si="5"/>
        <v>0.81632653061224492</v>
      </c>
      <c r="H19" s="93">
        <f t="shared" si="5"/>
        <v>0.65306122448979587</v>
      </c>
      <c r="I19" s="93">
        <f t="shared" si="5"/>
        <v>0.65306122448979587</v>
      </c>
      <c r="J19" s="93">
        <f t="shared" si="5"/>
        <v>0.38775510204081631</v>
      </c>
      <c r="K19" s="93">
        <f t="shared" si="5"/>
        <v>0.42857142857142855</v>
      </c>
      <c r="L19" s="93">
        <f t="shared" si="5"/>
        <v>0.10204081632653061</v>
      </c>
      <c r="M19" s="93">
        <f t="shared" si="5"/>
        <v>0.34693877551020408</v>
      </c>
      <c r="N19" s="93">
        <f t="shared" si="5"/>
        <v>2.0408163265306121E-2</v>
      </c>
      <c r="O19" s="87"/>
      <c r="P19" s="122"/>
    </row>
    <row r="20" spans="1:16" x14ac:dyDescent="0.25">
      <c r="A20" s="107"/>
      <c r="B20" s="104" t="s">
        <v>374</v>
      </c>
      <c r="C20" s="142" t="s">
        <v>335</v>
      </c>
      <c r="D20" s="143"/>
      <c r="E20" s="143"/>
      <c r="F20" s="143"/>
      <c r="G20" s="143"/>
      <c r="H20" s="143"/>
      <c r="I20" s="143"/>
      <c r="J20" s="143"/>
      <c r="K20" s="143"/>
      <c r="L20" s="143"/>
      <c r="M20" s="143"/>
      <c r="N20" s="143"/>
      <c r="O20" s="87"/>
      <c r="P20" s="122"/>
    </row>
    <row r="21" spans="1:16" ht="15.75" thickBot="1" x14ac:dyDescent="0.3">
      <c r="A21" s="110" t="s">
        <v>375</v>
      </c>
      <c r="B21" s="116">
        <v>0</v>
      </c>
      <c r="C21" s="123">
        <f>COUNTIFS('source details'!E:E, "1",'source details'!I:I,"1")</f>
        <v>9</v>
      </c>
      <c r="D21" s="91">
        <f>COUNTIFS(rights,"1",index, "1")</f>
        <v>20</v>
      </c>
      <c r="E21" s="91">
        <f>COUNTIFS(rights,"1",obj, "1")</f>
        <v>2</v>
      </c>
      <c r="F21" s="91">
        <f>COUNTIFS(rights,"1",quant, "1")</f>
        <v>1</v>
      </c>
      <c r="G21" s="91">
        <f>COUNTIFS(rights,"1",multind, "1")</f>
        <v>23</v>
      </c>
      <c r="H21" s="91">
        <f>COUNTIFS(rights,"1",localeng, "1")</f>
        <v>3</v>
      </c>
      <c r="I21" s="91">
        <f>COUNTIFS(rights,"1",download, "&gt;0")</f>
        <v>16</v>
      </c>
      <c r="J21" s="91">
        <f>COUNTIFS(rights,"1",onlineanalysis, "1")</f>
        <v>2</v>
      </c>
      <c r="K21" s="91">
        <f>COUNTIFS(rights,"1",socialmedia, "1")</f>
        <v>4</v>
      </c>
      <c r="L21" s="91">
        <f>COUNTIFS(rights,"1",socialmedia, "&gt;2")</f>
        <v>2</v>
      </c>
      <c r="M21" s="91">
        <f>COUNTIFS(rights,"1",digitaleng, "&gt;0")</f>
        <v>9</v>
      </c>
      <c r="N21" s="91">
        <f>COUNTIFS(rights,"1",digitaleng, "&gt;2")</f>
        <v>0</v>
      </c>
      <c r="O21" s="134" t="s">
        <v>373</v>
      </c>
      <c r="P21" s="135"/>
    </row>
    <row r="22" spans="1:16" x14ac:dyDescent="0.25">
      <c r="A22" s="101" t="s">
        <v>276</v>
      </c>
      <c r="B22" s="102" t="s">
        <v>277</v>
      </c>
      <c r="C22" s="124">
        <f t="shared" ref="C22:N22" si="6">C21/totalrights</f>
        <v>0.34615384615384615</v>
      </c>
      <c r="D22" s="93">
        <f t="shared" si="6"/>
        <v>0.76923076923076927</v>
      </c>
      <c r="E22" s="93">
        <f t="shared" si="6"/>
        <v>7.6923076923076927E-2</v>
      </c>
      <c r="F22" s="93">
        <f t="shared" si="6"/>
        <v>3.8461538461538464E-2</v>
      </c>
      <c r="G22" s="93">
        <f t="shared" si="6"/>
        <v>0.88461538461538458</v>
      </c>
      <c r="H22" s="93">
        <f t="shared" si="6"/>
        <v>0.11538461538461539</v>
      </c>
      <c r="I22" s="93">
        <f t="shared" si="6"/>
        <v>0.61538461538461542</v>
      </c>
      <c r="J22" s="93">
        <f t="shared" si="6"/>
        <v>7.6923076923076927E-2</v>
      </c>
      <c r="K22" s="93">
        <f t="shared" si="6"/>
        <v>0.15384615384615385</v>
      </c>
      <c r="L22" s="93">
        <f t="shared" si="6"/>
        <v>7.6923076923076927E-2</v>
      </c>
      <c r="M22" s="93">
        <f t="shared" si="6"/>
        <v>0.34615384615384615</v>
      </c>
      <c r="N22" s="93">
        <f t="shared" si="6"/>
        <v>0</v>
      </c>
      <c r="O22" s="134"/>
      <c r="P22" s="135"/>
    </row>
    <row r="23" spans="1:16" x14ac:dyDescent="0.25">
      <c r="A23" s="103" t="s">
        <v>58</v>
      </c>
      <c r="B23" s="104" t="s">
        <v>58</v>
      </c>
      <c r="C23" s="142" t="s">
        <v>338</v>
      </c>
      <c r="D23" s="143"/>
      <c r="E23" s="143"/>
      <c r="F23" s="143"/>
      <c r="G23" s="143"/>
      <c r="H23" s="143"/>
      <c r="I23" s="143"/>
      <c r="J23" s="143"/>
      <c r="K23" s="143"/>
      <c r="L23" s="143"/>
      <c r="M23" s="143"/>
      <c r="N23" s="143"/>
      <c r="O23" s="87"/>
      <c r="P23" s="122"/>
    </row>
    <row r="24" spans="1:16" x14ac:dyDescent="0.25">
      <c r="A24" s="105">
        <v>9</v>
      </c>
      <c r="B24" s="106">
        <f>COUNTIF(scope,analysis!B23)</f>
        <v>38</v>
      </c>
      <c r="C24" s="125"/>
      <c r="D24" s="91">
        <f>COUNTIFS(localpart,"1",index, "1")</f>
        <v>12</v>
      </c>
      <c r="E24" s="91">
        <f>COUNTIFS(localpart,"1",obj, "1")</f>
        <v>4</v>
      </c>
      <c r="F24" s="91">
        <f>COUNTIFS(localpart,"1",quant, "1")</f>
        <v>5</v>
      </c>
      <c r="G24" s="91">
        <f>COUNTIFS(localpart,"1",multind, "1")</f>
        <v>16</v>
      </c>
      <c r="H24" s="91">
        <f>COUNTIFS(localpart,"1",localeng, "1")</f>
        <v>3</v>
      </c>
      <c r="I24" s="91">
        <f>COUNTIFS(localpart,"1",download, "&gt;0")</f>
        <v>15</v>
      </c>
      <c r="J24" s="91">
        <f>COUNTIFS(localpart,"1",onlineanalysis, "1")</f>
        <v>5</v>
      </c>
      <c r="K24" s="91">
        <f>COUNTIFS(localpart,"1",socialmedia, "1")</f>
        <v>4</v>
      </c>
      <c r="L24" s="91">
        <f>COUNTIFS(localpart,"1",socialmedia, "&gt;2")</f>
        <v>4</v>
      </c>
      <c r="M24" s="91">
        <f>COUNTIFS(localpart,"1",digitaleng, "&gt;0")</f>
        <v>7</v>
      </c>
      <c r="N24" s="91">
        <f>COUNTIFS(localpart,"1",digitaleng, "&gt;2")</f>
        <v>1</v>
      </c>
      <c r="O24" s="134" t="s">
        <v>372</v>
      </c>
      <c r="P24" s="135"/>
    </row>
    <row r="25" spans="1:16" x14ac:dyDescent="0.25">
      <c r="A25" s="107"/>
      <c r="B25" s="108"/>
      <c r="C25" s="125"/>
      <c r="D25" s="93">
        <f t="shared" ref="D25:N25" si="7">D24/totalparts</f>
        <v>0.63157894736842102</v>
      </c>
      <c r="E25" s="93">
        <f t="shared" si="7"/>
        <v>0.21052631578947367</v>
      </c>
      <c r="F25" s="93">
        <f t="shared" si="7"/>
        <v>0.26315789473684209</v>
      </c>
      <c r="G25" s="93">
        <f t="shared" si="7"/>
        <v>0.84210526315789469</v>
      </c>
      <c r="H25" s="94">
        <f t="shared" si="7"/>
        <v>0.15789473684210525</v>
      </c>
      <c r="I25" s="93">
        <f t="shared" si="7"/>
        <v>0.78947368421052633</v>
      </c>
      <c r="J25" s="93">
        <f t="shared" si="7"/>
        <v>0.26315789473684209</v>
      </c>
      <c r="K25" s="93">
        <f t="shared" si="7"/>
        <v>0.21052631578947367</v>
      </c>
      <c r="L25" s="93">
        <f t="shared" si="7"/>
        <v>0.21052631578947367</v>
      </c>
      <c r="M25" s="93">
        <f t="shared" si="7"/>
        <v>0.36842105263157893</v>
      </c>
      <c r="N25" s="93">
        <f t="shared" si="7"/>
        <v>5.2631578947368418E-2</v>
      </c>
      <c r="O25" s="134"/>
      <c r="P25" s="135"/>
    </row>
    <row r="26" spans="1:16" x14ac:dyDescent="0.25">
      <c r="A26" s="103" t="s">
        <v>341</v>
      </c>
      <c r="B26" s="104" t="s">
        <v>337</v>
      </c>
      <c r="C26" s="142" t="s">
        <v>376</v>
      </c>
      <c r="D26" s="143"/>
      <c r="E26" s="143"/>
      <c r="F26" s="143"/>
      <c r="G26" s="143"/>
      <c r="H26" s="143"/>
      <c r="I26" s="143"/>
      <c r="J26" s="143"/>
      <c r="K26" s="143"/>
      <c r="L26" s="143"/>
      <c r="M26" s="143"/>
      <c r="N26" s="143"/>
      <c r="O26" s="87"/>
      <c r="P26" s="122"/>
    </row>
    <row r="27" spans="1:16" x14ac:dyDescent="0.25">
      <c r="A27" s="105">
        <f>totalsources-A30-A24</f>
        <v>36</v>
      </c>
      <c r="B27" s="106">
        <f>COUNTIF(scope,analysis!B26)</f>
        <v>2</v>
      </c>
      <c r="C27" s="123">
        <f>COUNTIFS(localpart,"1",localeng, "&gt;0")</f>
        <v>11</v>
      </c>
      <c r="D27" s="91">
        <f>COUNTIFS(index,"1",localeng, "&gt;0")</f>
        <v>10</v>
      </c>
      <c r="E27" s="91">
        <f>COUNTIFS(obj,"1",localeng, "&gt;0")</f>
        <v>3</v>
      </c>
      <c r="F27" s="91">
        <f>COUNTIFS(quant,"1",localeng, "&gt;0")</f>
        <v>3</v>
      </c>
      <c r="G27" s="91">
        <f>COUNTIFS(multind,"1",localeng, "&gt;0")</f>
        <v>13</v>
      </c>
      <c r="H27" s="92"/>
      <c r="I27" s="91">
        <f>COUNTIFS(download,"1",localeng, "&gt;0")</f>
        <v>8</v>
      </c>
      <c r="J27" s="91">
        <f>COUNTIFS(onlineanalysis,"1",localeng, "&gt;0")</f>
        <v>3</v>
      </c>
      <c r="K27" s="91">
        <f>COUNTIFS(socialmedia,"1",localeng, "&gt;0")</f>
        <v>6</v>
      </c>
      <c r="L27" s="91">
        <f>COUNTIFS(socialmedia,"1",localeng, "&gt;2")</f>
        <v>3</v>
      </c>
      <c r="M27" s="91">
        <f>COUNTIFS(digitaleng,"1",localeng, "&gt;2")</f>
        <v>1</v>
      </c>
      <c r="N27" s="91">
        <f>COUNTIFS(digitaleng,"1",localeng, "&gt;2")</f>
        <v>1</v>
      </c>
      <c r="O27" s="134" t="s">
        <v>371</v>
      </c>
      <c r="P27" s="135"/>
    </row>
    <row r="28" spans="1:16" ht="15.75" thickBot="1" x14ac:dyDescent="0.3">
      <c r="A28" s="107"/>
      <c r="B28" s="109"/>
      <c r="C28" s="126">
        <f>C27/totaleng</f>
        <v>0.34375</v>
      </c>
      <c r="D28" s="127">
        <f>D27/totaleng</f>
        <v>0.3125</v>
      </c>
      <c r="E28" s="127">
        <f>E27/totaleng</f>
        <v>9.375E-2</v>
      </c>
      <c r="F28" s="127">
        <f>F27/totaleng</f>
        <v>9.375E-2</v>
      </c>
      <c r="G28" s="127">
        <f>G27/totaleng</f>
        <v>0.40625</v>
      </c>
      <c r="H28" s="128"/>
      <c r="I28" s="127">
        <f t="shared" ref="I28:N28" si="8">I27/totaleng</f>
        <v>0.25</v>
      </c>
      <c r="J28" s="127">
        <f t="shared" si="8"/>
        <v>9.375E-2</v>
      </c>
      <c r="K28" s="127">
        <f t="shared" si="8"/>
        <v>0.1875</v>
      </c>
      <c r="L28" s="127">
        <f t="shared" si="8"/>
        <v>9.375E-2</v>
      </c>
      <c r="M28" s="127">
        <f t="shared" si="8"/>
        <v>3.125E-2</v>
      </c>
      <c r="N28" s="127">
        <f t="shared" si="8"/>
        <v>3.125E-2</v>
      </c>
      <c r="O28" s="136"/>
      <c r="P28" s="137"/>
    </row>
    <row r="29" spans="1:16" x14ac:dyDescent="0.25">
      <c r="A29" s="103" t="s">
        <v>342</v>
      </c>
      <c r="B29" s="104" t="s">
        <v>262</v>
      </c>
      <c r="C29" s="36"/>
      <c r="D29" s="36"/>
      <c r="E29" s="36"/>
      <c r="F29" s="36"/>
    </row>
    <row r="30" spans="1:16" x14ac:dyDescent="0.25">
      <c r="A30" s="105">
        <v>4</v>
      </c>
      <c r="B30" s="106">
        <f>COUNTIF(scope,analysis!B29)</f>
        <v>1</v>
      </c>
      <c r="C30" s="36"/>
      <c r="D30" s="36"/>
      <c r="E30" s="36"/>
      <c r="F30" s="36"/>
      <c r="G30" s="36"/>
    </row>
    <row r="31" spans="1:16" x14ac:dyDescent="0.25">
      <c r="A31" s="107"/>
      <c r="B31" s="109"/>
    </row>
    <row r="32" spans="1:16" x14ac:dyDescent="0.25">
      <c r="A32" s="107"/>
      <c r="B32" s="104" t="s">
        <v>227</v>
      </c>
    </row>
    <row r="33" spans="1:2" x14ac:dyDescent="0.25">
      <c r="A33" s="107"/>
      <c r="B33" s="106">
        <f>COUNTIF(scope,analysis!B32)</f>
        <v>2</v>
      </c>
    </row>
    <row r="34" spans="1:2" x14ac:dyDescent="0.25">
      <c r="A34" s="107"/>
      <c r="B34" s="109"/>
    </row>
    <row r="35" spans="1:2" x14ac:dyDescent="0.25">
      <c r="A35" s="107"/>
      <c r="B35" s="104" t="s">
        <v>336</v>
      </c>
    </row>
    <row r="36" spans="1:2" ht="15.75" thickBot="1" x14ac:dyDescent="0.3">
      <c r="A36" s="110"/>
      <c r="B36" s="111">
        <f>COUNTIF(scope,analysis!B35)</f>
        <v>2</v>
      </c>
    </row>
  </sheetData>
  <mergeCells count="22">
    <mergeCell ref="B4:C4"/>
    <mergeCell ref="F5:G5"/>
    <mergeCell ref="H5:I5"/>
    <mergeCell ref="J5:K5"/>
    <mergeCell ref="L5:M5"/>
    <mergeCell ref="C17:N17"/>
    <mergeCell ref="A1:B1"/>
    <mergeCell ref="O27:P28"/>
    <mergeCell ref="B6:C6"/>
    <mergeCell ref="B7:C7"/>
    <mergeCell ref="B8:C8"/>
    <mergeCell ref="B9:C9"/>
    <mergeCell ref="B10:C10"/>
    <mergeCell ref="B11:C11"/>
    <mergeCell ref="B12:C12"/>
    <mergeCell ref="B13:C13"/>
    <mergeCell ref="C26:N26"/>
    <mergeCell ref="C23:N23"/>
    <mergeCell ref="O21:P22"/>
    <mergeCell ref="O24:P25"/>
    <mergeCell ref="C20:N20"/>
    <mergeCell ref="D5:E5"/>
  </mergeCells>
  <conditionalFormatting sqref="M6:M14 K6:K14 I6:I14 G6:G14 E6:E14">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horizontalDpi="4294967292" verticalDpi="4294967292"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21</vt:i4>
      </vt:variant>
    </vt:vector>
  </HeadingPairs>
  <TitlesOfParts>
    <vt:vector size="25" baseType="lpstr">
      <vt:lpstr>source  overview</vt:lpstr>
      <vt:lpstr>source details</vt:lpstr>
      <vt:lpstr>codes</vt:lpstr>
      <vt:lpstr>analysis</vt:lpstr>
      <vt:lpstr>digitaleng</vt:lpstr>
      <vt:lpstr>download</vt:lpstr>
      <vt:lpstr>field</vt:lpstr>
      <vt:lpstr>hq</vt:lpstr>
      <vt:lpstr>index</vt:lpstr>
      <vt:lpstr>'source details'!Inicio</vt:lpstr>
      <vt:lpstr>localeng</vt:lpstr>
      <vt:lpstr>localpart</vt:lpstr>
      <vt:lpstr>multind</vt:lpstr>
      <vt:lpstr>obj</vt:lpstr>
      <vt:lpstr>onb</vt:lpstr>
      <vt:lpstr>onlineanalysis</vt:lpstr>
      <vt:lpstr>pubopin</vt:lpstr>
      <vt:lpstr>quant</vt:lpstr>
      <vt:lpstr>rights</vt:lpstr>
      <vt:lpstr>scope</vt:lpstr>
      <vt:lpstr>socialmedia</vt:lpstr>
      <vt:lpstr>totaleng</vt:lpstr>
      <vt:lpstr>totalparts</vt:lpstr>
      <vt:lpstr>totalrights</vt:lpstr>
      <vt:lpstr>totalsources</vt:lpstr>
    </vt:vector>
  </TitlesOfParts>
  <Company>UNDP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christopher.wilson</dc:creator>
  <cp:lastModifiedBy>Your User Name</cp:lastModifiedBy>
  <dcterms:created xsi:type="dcterms:W3CDTF">2011-05-28T14:52:19Z</dcterms:created>
  <dcterms:modified xsi:type="dcterms:W3CDTF">2011-06-05T13:00:45Z</dcterms:modified>
</cp:coreProperties>
</file>